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2790" yWindow="0" windowWidth="11490" windowHeight="4635" tabRatio="621" activeTab="1"/>
  </bookViews>
  <sheets>
    <sheet name="Orçamento" sheetId="1" r:id="rId1"/>
    <sheet name="Cronograma Mensal" sheetId="2" r:id="rId2"/>
  </sheets>
  <externalReferences>
    <externalReference r:id="rId5"/>
  </externalReferences>
  <definedNames>
    <definedName name="_xlnm._FilterDatabase" localSheetId="0" hidden="1">'Orçamento'!$C$13:$L$404</definedName>
    <definedName name="_xlfn.IFERROR" hidden="1">#NAME?</definedName>
    <definedName name="_xlfn_IFERROR">NA()</definedName>
    <definedName name="_xlnm_Print_Area_1">'Orçamento'!$C$1:$K$394</definedName>
    <definedName name="_xlnm_Print_Area_2">#REF!</definedName>
    <definedName name="_xlnm_Print_Area_3">#REF!</definedName>
    <definedName name="_xlnm_Print_Area_4" localSheetId="1">'Cronograma Mensal'!$A$1:$F$28</definedName>
    <definedName name="_xlnm_Print_Area_4">#REF!</definedName>
    <definedName name="_xlnm_Print_Titles_1">'Orçamento'!$1:$13</definedName>
    <definedName name="_xlnm_Print_Titles_2">#REF!</definedName>
    <definedName name="_xlnm_Print_Titles_3">#REF!</definedName>
    <definedName name="_xlnm.Print_Area" localSheetId="1">'Cronograma Mensal'!$A$1:$I$35</definedName>
    <definedName name="_xlnm.Print_Area" localSheetId="0">'Orçamento'!$C$1:$K$403</definedName>
    <definedName name="Excel_BuiltIn__FilterDatabase" localSheetId="0">'Orçamento'!#REF!</definedName>
    <definedName name="Excel_BuiltIn_Print_Area" localSheetId="0">'Orçamento'!$C$1:$K$398</definedName>
    <definedName name="SHARED_FORMULA_0_19_0_19_0">#REF!+1</definedName>
    <definedName name="SHARED_FORMULA_6_101_6_101_4">ROUND(#REF!*#REF!,2)</definedName>
    <definedName name="SHARED_FORMULA_6_123_6_123_4">ROUND(#REF!*#REF!,2)</definedName>
    <definedName name="SHARED_FORMULA_6_131_6_131_3">#REF!*#REF!</definedName>
    <definedName name="SHARED_FORMULA_6_15_6_15_4">ROUND(#REF!*#REF!,2)</definedName>
    <definedName name="SHARED_FORMULA_6_155_6_155_3">#REF!*#REF!</definedName>
    <definedName name="SHARED_FORMULA_6_192_6_192_3">#REF!*#REF!</definedName>
    <definedName name="SHARED_FORMULA_6_212_6_212_3">#REF!*#REF!</definedName>
    <definedName name="SHARED_FORMULA_6_221_6_221_3">#REF!*#REF!</definedName>
    <definedName name="SHARED_FORMULA_6_238_6_238_3">#REF!*#REF!</definedName>
    <definedName name="SHARED_FORMULA_6_247_6_247_3">#REF!*#REF!</definedName>
    <definedName name="SHARED_FORMULA_6_292_6_292_3">#REF!*#REF!</definedName>
    <definedName name="SHARED_FORMULA_6_311_6_311_3">#REF!*#REF!</definedName>
    <definedName name="SHARED_FORMULA_6_324_6_324_3">#REF!*#REF!</definedName>
    <definedName name="SHARED_FORMULA_6_334_6_334_3">#REF!*#REF!</definedName>
    <definedName name="SHARED_FORMULA_6_354_6_354_3">#REF!*#REF!</definedName>
    <definedName name="SHARED_FORMULA_6_369_6_369_3">#REF!*#REF!</definedName>
    <definedName name="SHARED_FORMULA_6_43_6_43_3">#REF!*#REF!</definedName>
    <definedName name="SHARED_FORMULA_6_473_6_473_3">#REF!*#REF!</definedName>
    <definedName name="SHARED_FORMULA_6_481_6_481_3">#REF!*#REF!</definedName>
    <definedName name="SHARED_FORMULA_6_496_6_496_3">#REF!*#REF!</definedName>
    <definedName name="SHARED_FORMULA_6_543_6_543_3">#REF!*#REF!</definedName>
    <definedName name="SHARED_FORMULA_6_600_6_600_3">#REF!*#REF!</definedName>
    <definedName name="SHARED_FORMULA_6_67_6_67_3">#REF!*#REF!</definedName>
    <definedName name="SHARED_FORMULA_6_77_6_77_3">#REF!*#REF!</definedName>
    <definedName name="SHARED_FORMULA_6_93_6_93_4">ROUND(#REF!*#REF!,2)</definedName>
    <definedName name="SHARED_FORMULA_7_130_7_130_3">#REF!/#REF!*100</definedName>
    <definedName name="SHARED_FORMULA_7_154_7_154_3">#REF!/#REF!*100</definedName>
    <definedName name="SHARED_FORMULA_7_192_7_192_3">#REF!/#REF!*100</definedName>
    <definedName name="SHARED_FORMULA_7_212_7_212_3">#REF!/#REF!*100</definedName>
    <definedName name="SHARED_FORMULA_7_238_7_238_3">#REF!/#REF!*100</definedName>
    <definedName name="SHARED_FORMULA_7_247_7_247_3">#REF!/#REF!*100</definedName>
    <definedName name="SHARED_FORMULA_7_292_7_292_3">#REF!/#REF!*100</definedName>
    <definedName name="SHARED_FORMULA_7_311_7_311_3">#REF!/#REF!*100</definedName>
    <definedName name="SHARED_FORMULA_7_324_7_324_3">#REF!/#REF!*100</definedName>
    <definedName name="SHARED_FORMULA_7_334_7_334_3">#REF!/#REF!*100</definedName>
    <definedName name="SHARED_FORMULA_7_354_7_354_3">#REF!/#REF!*100</definedName>
    <definedName name="SHARED_FORMULA_7_369_7_369_3">#REF!/#REF!*100</definedName>
    <definedName name="SHARED_FORMULA_7_401_7_401_3">#REF!/#REF!*100</definedName>
    <definedName name="SHARED_FORMULA_7_43_7_43_3">#REF!/#REF!*100</definedName>
    <definedName name="SHARED_FORMULA_7_433_7_433_3">#REF!/#REF!*100</definedName>
    <definedName name="SHARED_FORMULA_7_465_7_465_3">#REF!/#REF!*100</definedName>
    <definedName name="SHARED_FORMULA_7_473_7_473_3">#REF!/#REF!*100</definedName>
    <definedName name="SHARED_FORMULA_7_496_7_496_3">#REF!/#REF!*100</definedName>
    <definedName name="SHARED_FORMULA_7_539_7_539_3">#REF!/#REF!*100</definedName>
    <definedName name="SHARED_FORMULA_7_547_7_547_3">#REF!/#REF!*100</definedName>
    <definedName name="SHARED_FORMULA_7_601_7_601_3">#REF!/#REF!*100</definedName>
    <definedName name="SHARED_FORMULA_7_66_7_66_3">#REF!/#REF!*100</definedName>
    <definedName name="SHARED_FORMULA_7_76_7_76_3">#REF!/#REF!*100</definedName>
    <definedName name="SHARED_FORMULA_8_19_8_19_0">#REF!*#REF!</definedName>
    <definedName name="_xlnm.Print_Titles" localSheetId="1">'Cronograma Mensal'!$A:$D</definedName>
    <definedName name="_xlnm.Print_Titles" localSheetId="0">'Orçamento'!$13:$13</definedName>
    <definedName name="Z_2483EC8A_7597_461B_9CFC_2FA94ACA4DFB_.wvu.FilterData" localSheetId="0" hidden="1">'Orçamento'!$C$13:$K$398</definedName>
    <definedName name="Z_29968698_A86A_456F_9240_BB3FE00129DB__wvu_FilterData" localSheetId="0">'Orçamento'!$C$13:$L$398</definedName>
    <definedName name="Z_30999B9E_2E65_4663_976F_9A54CE05102E__wvu_FilterData" localSheetId="0">'Orçamento'!$C$13:$L$398</definedName>
    <definedName name="Z_30999B9E_2E65_4663_976F_9A54CE05102E__wvu_PrintArea" localSheetId="1">'Cronograma Mensal'!$A$1:$I$34</definedName>
    <definedName name="Z_30999B9E_2E65_4663_976F_9A54CE05102E__wvu_PrintArea" localSheetId="0">'Orçamento'!$C$1:$K$404</definedName>
    <definedName name="Z_30999B9E_2E65_4663_976F_9A54CE05102E__wvu_PrintTitles" localSheetId="0">'Orçamento'!$1:$13</definedName>
    <definedName name="Z_37FA8F07_9D7A_418D_BC30_0AE0C3739A19__wvu_FilterData" localSheetId="0">'Orçamento'!$C$13:$K$394</definedName>
    <definedName name="Z_37FA8F07_9D7A_418D_BC30_0AE0C3739A19__wvu_PrintArea" localSheetId="1">'Cronograma Mensal'!$A$1:$I$34</definedName>
    <definedName name="Z_3B8348FD_7A00_44FD_ACF5_E6A19592872E_.wvu.Cols" localSheetId="1" hidden="1">'Cronograma Mensal'!$E:$H</definedName>
    <definedName name="Z_3B8348FD_7A00_44FD_ACF5_E6A19592872E_.wvu.Cols" localSheetId="0" hidden="1">'Orçamento'!$E:$E</definedName>
    <definedName name="Z_3B8348FD_7A00_44FD_ACF5_E6A19592872E_.wvu.FilterData" localSheetId="0" hidden="1">'Orçamento'!$C$13:$K$398</definedName>
    <definedName name="Z_3B8348FD_7A00_44FD_ACF5_E6A19592872E_.wvu.PrintArea" localSheetId="1" hidden="1">'Cronograma Mensal'!$A$1:$I$35</definedName>
    <definedName name="Z_3B8348FD_7A00_44FD_ACF5_E6A19592872E_.wvu.PrintArea" localSheetId="0" hidden="1">'Orçamento'!$C$1:$K$404</definedName>
    <definedName name="Z_3B8348FD_7A00_44FD_ACF5_E6A19592872E_.wvu.PrintTitles" localSheetId="1" hidden="1">'Cronograma Mensal'!$A:$D</definedName>
    <definedName name="Z_3B8348FD_7A00_44FD_ACF5_E6A19592872E_.wvu.PrintTitles" localSheetId="0" hidden="1">'Orçamento'!$13:$13</definedName>
    <definedName name="Z_50160325_FDD6_4995_897D_2F4F0C6430EC__wvu_FilterData" localSheetId="0">'Orçamento'!$C$13:$K$394</definedName>
    <definedName name="Z_50160325_FDD6_4995_897D_2F4F0C6430EC__wvu_PrintArea" localSheetId="1">'Cronograma Mensal'!$A$1:$I$34</definedName>
    <definedName name="Z_50160325_FDD6_4995_897D_2F4F0C6430EC__wvu_PrintArea" localSheetId="0">'Orçamento'!$C$1:$K$404</definedName>
    <definedName name="Z_50160325_FDD6_4995_897D_2F4F0C6430EC__wvu_PrintTitles" localSheetId="0">'Orçamento'!$1:$13</definedName>
    <definedName name="Z_51679F6D_52C9_495E_8CE0_A4AA589D4632__wvu_FilterData" localSheetId="0">'Orçamento'!$C$13:$K$394</definedName>
    <definedName name="Z_65A89EDC_E2EF_4E49_9370_82AFDB881213__wvu_FilterData" localSheetId="0">'Orçamento'!$C$13:$K$394</definedName>
    <definedName name="Z_8EC65F00_94CE_4AAC_901F_0F1A78C19FA2__wvu_FilterData" localSheetId="0">'Orçamento'!$C$13:$K$394</definedName>
    <definedName name="Z_B535EED3_096A_4559_AE37_6359A35C71B4_.wvu.Cols" localSheetId="1" hidden="1">'Cronograma Mensal'!$E:$H</definedName>
    <definedName name="Z_B535EED3_096A_4559_AE37_6359A35C71B4_.wvu.Cols" localSheetId="0" hidden="1">'Orçamento'!$E:$E,'Orçamento'!#REF!</definedName>
    <definedName name="Z_B535EED3_096A_4559_AE37_6359A35C71B4_.wvu.FilterData" localSheetId="0" hidden="1">'Orçamento'!$C$13:$L$398</definedName>
    <definedName name="Z_B535EED3_096A_4559_AE37_6359A35C71B4_.wvu.PrintArea" localSheetId="1" hidden="1">'Cronograma Mensal'!$A$1:$I$35</definedName>
    <definedName name="Z_B535EED3_096A_4559_AE37_6359A35C71B4_.wvu.PrintArea" localSheetId="0" hidden="1">'Orçamento'!$C$1:$K$404</definedName>
    <definedName name="Z_B535EED3_096A_4559_AE37_6359A35C71B4_.wvu.PrintTitles" localSheetId="1" hidden="1">'Cronograma Mensal'!$A:$D</definedName>
    <definedName name="Z_B535EED3_096A_4559_AE37_6359A35C71B4_.wvu.PrintTitles" localSheetId="0" hidden="1">'Orçamento'!$13:$13</definedName>
    <definedName name="Z_CC09A366_C6A3_4857_97A0_64EABF22978D__wvu_FilterData" localSheetId="0">'Orçamento'!$C$13:$L$398</definedName>
    <definedName name="Z_CE6D2F78_279A_48FF_B90B_4CA40BF0D3DA__wvu_FilterData" localSheetId="0">'Orçamento'!$C$13:$L$398</definedName>
    <definedName name="Z_CE6D2F78_279A_48FF_B90B_4CA40BF0D3DA__wvu_PrintArea" localSheetId="1">'Cronograma Mensal'!$A$1:$I$34</definedName>
    <definedName name="Z_CE6D2F78_279A_48FF_B90B_4CA40BF0D3DA__wvu_PrintArea" localSheetId="0">'Orçamento'!$C$1:$K$404</definedName>
    <definedName name="Z_CE6D2F78_279A_48FF_B90B_4CA40BF0D3DA__wvu_PrintTitles" localSheetId="0">'Orçamento'!$1:$13</definedName>
  </definedNames>
  <calcPr fullCalcOnLoad="1"/>
</workbook>
</file>

<file path=xl/comments1.xml><?xml version="1.0" encoding="utf-8"?>
<comments xmlns="http://schemas.openxmlformats.org/spreadsheetml/2006/main">
  <authors>
    <author>Erica Sotto</author>
  </authors>
  <commentList>
    <comment ref="B34" authorId="0">
      <text>
        <r>
          <rPr>
            <b/>
            <sz val="9"/>
            <rFont val="Segoe UI"/>
            <family val="2"/>
          </rPr>
          <t>Erica Sotto:</t>
        </r>
        <r>
          <rPr>
            <sz val="9"/>
            <rFont val="Segoe UI"/>
            <family val="2"/>
          </rPr>
          <t xml:space="preserve">
Interno e externo
</t>
        </r>
      </text>
    </comment>
    <comment ref="B36" authorId="0">
      <text>
        <r>
          <rPr>
            <b/>
            <sz val="9"/>
            <rFont val="Segoe UI"/>
            <family val="2"/>
          </rPr>
          <t>Erica Sotto:</t>
        </r>
        <r>
          <rPr>
            <sz val="9"/>
            <rFont val="Segoe UI"/>
            <family val="2"/>
          </rPr>
          <t xml:space="preserve">
externo</t>
        </r>
      </text>
    </comment>
    <comment ref="B37" authorId="0">
      <text>
        <r>
          <rPr>
            <b/>
            <sz val="9"/>
            <rFont val="Segoe UI"/>
            <family val="2"/>
          </rPr>
          <t>Erica Sotto:</t>
        </r>
        <r>
          <rPr>
            <sz val="9"/>
            <rFont val="Segoe UI"/>
            <family val="2"/>
          </rPr>
          <t xml:space="preserve">
Interno: azulejo</t>
        </r>
      </text>
    </comment>
    <comment ref="B32" authorId="0">
      <text>
        <r>
          <rPr>
            <b/>
            <sz val="9"/>
            <rFont val="Segoe UI"/>
            <family val="2"/>
          </rPr>
          <t>Erica Sotto:</t>
        </r>
        <r>
          <rPr>
            <sz val="9"/>
            <rFont val="Segoe UI"/>
            <family val="2"/>
          </rPr>
          <t xml:space="preserve">
Parede com altura de 2,70, parede interna com altura de 2
anteparo externo com altura de 2
</t>
        </r>
      </text>
    </comment>
    <comment ref="B35" authorId="0">
      <text>
        <r>
          <rPr>
            <b/>
            <sz val="9"/>
            <rFont val="Segoe UI"/>
            <family val="2"/>
          </rPr>
          <t>Erica Sotto:</t>
        </r>
        <r>
          <rPr>
            <sz val="9"/>
            <rFont val="Segoe UI"/>
            <family val="2"/>
          </rPr>
          <t xml:space="preserve">
Interno e externo
</t>
        </r>
      </text>
    </comment>
    <comment ref="B82" authorId="0">
      <text>
        <r>
          <rPr>
            <b/>
            <sz val="9"/>
            <rFont val="Segoe UI"/>
            <family val="2"/>
          </rPr>
          <t>Erica Sotto:</t>
        </r>
        <r>
          <rPr>
            <sz val="9"/>
            <rFont val="Segoe UI"/>
            <family val="2"/>
          </rPr>
          <t xml:space="preserve">
externo</t>
        </r>
      </text>
    </comment>
    <comment ref="B144" authorId="0">
      <text>
        <r>
          <rPr>
            <b/>
            <sz val="9"/>
            <rFont val="Segoe UI"/>
            <family val="2"/>
          </rPr>
          <t>Erica Sotto:</t>
        </r>
        <r>
          <rPr>
            <sz val="9"/>
            <rFont val="Segoe UI"/>
            <family val="2"/>
          </rPr>
          <t xml:space="preserve">
1 para cada porta e 1 para o bebedouro</t>
        </r>
      </text>
    </comment>
    <comment ref="B78" authorId="0">
      <text>
        <r>
          <rPr>
            <b/>
            <sz val="9"/>
            <rFont val="Segoe UI"/>
            <family val="2"/>
          </rPr>
          <t>Erica Sotto:</t>
        </r>
        <r>
          <rPr>
            <sz val="9"/>
            <rFont val="Segoe UI"/>
            <family val="2"/>
          </rPr>
          <t xml:space="preserve">
1 para cada porta e 1 para o bebedouro</t>
        </r>
      </text>
    </comment>
    <comment ref="B263" authorId="0">
      <text>
        <r>
          <rPr>
            <b/>
            <sz val="9"/>
            <rFont val="Segoe UI"/>
            <family val="2"/>
          </rPr>
          <t>Erica Sotto:</t>
        </r>
        <r>
          <rPr>
            <sz val="9"/>
            <rFont val="Segoe UI"/>
            <family val="2"/>
          </rPr>
          <t xml:space="preserve">
Complemento para estacas (já contempla as duas), blocos , baldrames. Multipliquei por 2 pois saõ duas arquibancadas
</t>
        </r>
      </text>
    </comment>
    <comment ref="B21" authorId="0">
      <text>
        <r>
          <rPr>
            <b/>
            <sz val="9"/>
            <rFont val="Segoe UI"/>
            <family val="2"/>
          </rPr>
          <t>Erica Sotto:</t>
        </r>
        <r>
          <rPr>
            <sz val="9"/>
            <rFont val="Segoe UI"/>
            <family val="2"/>
          </rPr>
          <t xml:space="preserve">
Complemento para estacas, baldrames, blocos e estrutura</t>
        </r>
      </text>
    </comment>
    <comment ref="B104" authorId="0">
      <text>
        <r>
          <rPr>
            <b/>
            <sz val="9"/>
            <rFont val="Segoe UI"/>
            <family val="2"/>
          </rPr>
          <t>Erica Sotto:</t>
        </r>
        <r>
          <rPr>
            <sz val="9"/>
            <rFont val="Segoe UI"/>
            <family val="2"/>
          </rPr>
          <t xml:space="preserve">
Complemento para estacas, baldrames, blocos e estrutura</t>
        </r>
      </text>
    </comment>
    <comment ref="B184" authorId="0">
      <text>
        <r>
          <rPr>
            <b/>
            <sz val="9"/>
            <rFont val="Segoe UI"/>
            <family val="2"/>
          </rPr>
          <t>Erica Sotto:</t>
        </r>
        <r>
          <rPr>
            <sz val="9"/>
            <rFont val="Segoe UI"/>
            <family val="2"/>
          </rPr>
          <t xml:space="preserve">
Complemento para estacas, blocos e estrutura</t>
        </r>
      </text>
    </comment>
  </commentList>
</comments>
</file>

<file path=xl/sharedStrings.xml><?xml version="1.0" encoding="utf-8"?>
<sst xmlns="http://schemas.openxmlformats.org/spreadsheetml/2006/main" count="1815" uniqueCount="776">
  <si>
    <t xml:space="preserve">OBRA: </t>
  </si>
  <si>
    <t xml:space="preserve">Tipo de Intervenção: </t>
  </si>
  <si>
    <t>Área de intervenção:</t>
  </si>
  <si>
    <t>Endereço :</t>
  </si>
  <si>
    <t>Investimento:</t>
  </si>
  <si>
    <t>Ref.</t>
  </si>
  <si>
    <t>Un.</t>
  </si>
  <si>
    <t>Qtd.</t>
  </si>
  <si>
    <t xml:space="preserve">% </t>
  </si>
  <si>
    <t>%</t>
  </si>
  <si>
    <t>R$</t>
  </si>
  <si>
    <t>01.01</t>
  </si>
  <si>
    <t>01.01.01</t>
  </si>
  <si>
    <t>01.01.02</t>
  </si>
  <si>
    <t>01.01.03</t>
  </si>
  <si>
    <t>01.01.04</t>
  </si>
  <si>
    <t>01.01.05</t>
  </si>
  <si>
    <t>01.01.06</t>
  </si>
  <si>
    <t>01.01.07</t>
  </si>
  <si>
    <t>m</t>
  </si>
  <si>
    <t>01.01.08</t>
  </si>
  <si>
    <t>01.02</t>
  </si>
  <si>
    <t>01.02.01</t>
  </si>
  <si>
    <t>un</t>
  </si>
  <si>
    <t>08.15.017</t>
  </si>
  <si>
    <t>ARQUIBANCADA</t>
  </si>
  <si>
    <t>TAB.  REF.:</t>
  </si>
  <si>
    <t>Item</t>
  </si>
  <si>
    <t>Descrição</t>
  </si>
  <si>
    <t>Peso</t>
  </si>
  <si>
    <t>Valor do Serviço</t>
  </si>
  <si>
    <t>Sub-Total</t>
  </si>
  <si>
    <t>Total Geral</t>
  </si>
  <si>
    <t>Código</t>
  </si>
  <si>
    <t>01.02.02</t>
  </si>
  <si>
    <t>01.02.03</t>
  </si>
  <si>
    <t>01.02.04</t>
  </si>
  <si>
    <t>01.02.05</t>
  </si>
  <si>
    <t>01.02.06</t>
  </si>
  <si>
    <t>01.02.07</t>
  </si>
  <si>
    <t>01.02.08</t>
  </si>
  <si>
    <t>01.02.09</t>
  </si>
  <si>
    <t>01.02.10</t>
  </si>
  <si>
    <t>01.02.11</t>
  </si>
  <si>
    <t>01.02.12</t>
  </si>
  <si>
    <t>01.02.13</t>
  </si>
  <si>
    <t>01.02.14</t>
  </si>
  <si>
    <t>01.02.15</t>
  </si>
  <si>
    <t>01.02.16</t>
  </si>
  <si>
    <t>01.02.17</t>
  </si>
  <si>
    <t>01.02.18</t>
  </si>
  <si>
    <t>06.02.020</t>
  </si>
  <si>
    <t>Custo Total</t>
  </si>
  <si>
    <t>01.06</t>
  </si>
  <si>
    <t>cj</t>
  </si>
  <si>
    <t>02.02.130</t>
  </si>
  <si>
    <t>02.02.140</t>
  </si>
  <si>
    <t>02.02.150</t>
  </si>
  <si>
    <t>02.03.110</t>
  </si>
  <si>
    <t>02.09.040</t>
  </si>
  <si>
    <t>kg</t>
  </si>
  <si>
    <t>05.10.025</t>
  </si>
  <si>
    <t>06.11.040</t>
  </si>
  <si>
    <t>07.01.020</t>
  </si>
  <si>
    <t>07.01.120</t>
  </si>
  <si>
    <t>07.12.020</t>
  </si>
  <si>
    <t>08.05.220</t>
  </si>
  <si>
    <t>09.01.020</t>
  </si>
  <si>
    <t>09.02.020</t>
  </si>
  <si>
    <t>10.01.040</t>
  </si>
  <si>
    <t>11.01.290</t>
  </si>
  <si>
    <t>11.01.320</t>
  </si>
  <si>
    <t>11.05.040</t>
  </si>
  <si>
    <t>11.16.080</t>
  </si>
  <si>
    <t>11.18.020</t>
  </si>
  <si>
    <t>11.18.040</t>
  </si>
  <si>
    <t>12.05.010</t>
  </si>
  <si>
    <t>12.05.020</t>
  </si>
  <si>
    <t>14.05.050</t>
  </si>
  <si>
    <t>14.30.020</t>
  </si>
  <si>
    <t>17.02.020</t>
  </si>
  <si>
    <t>Chapisco</t>
  </si>
  <si>
    <t>17.02.120</t>
  </si>
  <si>
    <t>17.02.220</t>
  </si>
  <si>
    <t>Reboco</t>
  </si>
  <si>
    <t>18.06.410</t>
  </si>
  <si>
    <t>23.09.420</t>
  </si>
  <si>
    <t>24.01.030</t>
  </si>
  <si>
    <t>24.02.060</t>
  </si>
  <si>
    <t>24.02.270</t>
  </si>
  <si>
    <t>26.01.230</t>
  </si>
  <si>
    <t>28.01.070</t>
  </si>
  <si>
    <t>30.06.080</t>
  </si>
  <si>
    <t>30.06.090</t>
  </si>
  <si>
    <t>30.06.100</t>
  </si>
  <si>
    <t>30.06.110</t>
  </si>
  <si>
    <t>30.08.050</t>
  </si>
  <si>
    <t>32.16.030</t>
  </si>
  <si>
    <t>33.10.030</t>
  </si>
  <si>
    <t>33.10.050</t>
  </si>
  <si>
    <t>34.02.020</t>
  </si>
  <si>
    <t>34.05.270</t>
  </si>
  <si>
    <t>35.05.210</t>
  </si>
  <si>
    <t>35.05.220</t>
  </si>
  <si>
    <t>35.05.240</t>
  </si>
  <si>
    <t>37.03.200</t>
  </si>
  <si>
    <t>37.03.240</t>
  </si>
  <si>
    <t>38.05.060</t>
  </si>
  <si>
    <t>38.19.030</t>
  </si>
  <si>
    <t>39.02.016</t>
  </si>
  <si>
    <t>39.02.020</t>
  </si>
  <si>
    <t>39.02.040</t>
  </si>
  <si>
    <t>40.04.460</t>
  </si>
  <si>
    <t>40.04.470</t>
  </si>
  <si>
    <t>40.05.020</t>
  </si>
  <si>
    <t>40.05.040</t>
  </si>
  <si>
    <t>40.07.010</t>
  </si>
  <si>
    <t>41.07.200</t>
  </si>
  <si>
    <t>41.10.060</t>
  </si>
  <si>
    <t>41.10.080</t>
  </si>
  <si>
    <t>41.10.330</t>
  </si>
  <si>
    <t>41.14.070</t>
  </si>
  <si>
    <t>43.02.140</t>
  </si>
  <si>
    <t>44.01.240</t>
  </si>
  <si>
    <t>44.01.800</t>
  </si>
  <si>
    <t>44.03.510</t>
  </si>
  <si>
    <t>44.20.240</t>
  </si>
  <si>
    <t>46.01.020</t>
  </si>
  <si>
    <t>46.01.030</t>
  </si>
  <si>
    <t>46.01.040</t>
  </si>
  <si>
    <t>46.01.050</t>
  </si>
  <si>
    <t>46.02.010</t>
  </si>
  <si>
    <t>46.02.050</t>
  </si>
  <si>
    <t>46.02.060</t>
  </si>
  <si>
    <t>46.02.070</t>
  </si>
  <si>
    <t>46.12.020</t>
  </si>
  <si>
    <t>46.13.020</t>
  </si>
  <si>
    <t>46.13.026</t>
  </si>
  <si>
    <t>46.13.030</t>
  </si>
  <si>
    <t>47.01.020</t>
  </si>
  <si>
    <t>47.01.030</t>
  </si>
  <si>
    <t>47.01.040</t>
  </si>
  <si>
    <t>47.01.050</t>
  </si>
  <si>
    <t>47.01.180</t>
  </si>
  <si>
    <t>47.02.110</t>
  </si>
  <si>
    <t>47.04.090</t>
  </si>
  <si>
    <t>48.02.400</t>
  </si>
  <si>
    <t>49.01.016</t>
  </si>
  <si>
    <t>49.03.020</t>
  </si>
  <si>
    <t>49.04.010</t>
  </si>
  <si>
    <t>54.01.210</t>
  </si>
  <si>
    <t>54.02.030</t>
  </si>
  <si>
    <t>54.03.230</t>
  </si>
  <si>
    <t>54.04.340</t>
  </si>
  <si>
    <t>54.20.040</t>
  </si>
  <si>
    <t>BDI</t>
  </si>
  <si>
    <t>Invest./Área:</t>
  </si>
  <si>
    <t>05.09.007</t>
  </si>
  <si>
    <t>14.10.111</t>
  </si>
  <si>
    <t>18.06.142</t>
  </si>
  <si>
    <t>18.11.042</t>
  </si>
  <si>
    <t>33.07.102</t>
  </si>
  <si>
    <t>41.02.580</t>
  </si>
  <si>
    <t>01.03</t>
  </si>
  <si>
    <t>01.03.01</t>
  </si>
  <si>
    <t>01.03.02</t>
  </si>
  <si>
    <t>01.03.03</t>
  </si>
  <si>
    <t>01.03.04</t>
  </si>
  <si>
    <t>01.03.05</t>
  </si>
  <si>
    <t>01.03.06</t>
  </si>
  <si>
    <t>01.03.07</t>
  </si>
  <si>
    <t>01.03.08</t>
  </si>
  <si>
    <t>Descrição dos Serviços</t>
  </si>
  <si>
    <t>30.06.061</t>
  </si>
  <si>
    <t>33.12.011</t>
  </si>
  <si>
    <t>35.20.050</t>
  </si>
  <si>
    <t xml:space="preserve">Custo un. </t>
  </si>
  <si>
    <t>TOTAL GERAL</t>
  </si>
  <si>
    <t>PAISAGISMO</t>
  </si>
  <si>
    <t>21.01.160</t>
  </si>
  <si>
    <t>41.11.703</t>
  </si>
  <si>
    <t>33.11.050</t>
  </si>
  <si>
    <t xml:space="preserve">TOTAL GERAL COM BDI </t>
  </si>
  <si>
    <t>41.13.102</t>
  </si>
  <si>
    <t>46.13.101</t>
  </si>
  <si>
    <t>Foi considerado arredondamento de duas casas decimais para Quantidade; Custo Unitário; BDI; Custo Total. Para os cálculos utilizamos arredondamento de duas casas decimais após a vírgula. As empresas Proponentes devem seguir a mesma regra para o preenchimento da planilha.</t>
  </si>
  <si>
    <t>07.03.137</t>
  </si>
  <si>
    <t>08.16.089</t>
  </si>
  <si>
    <t>08.16.090</t>
  </si>
  <si>
    <t>16.18.070</t>
  </si>
  <si>
    <t>16.18.076</t>
  </si>
  <si>
    <t>CONSTRUÇÃO</t>
  </si>
  <si>
    <t>VESTIÁRIO</t>
  </si>
  <si>
    <t>01.01.09</t>
  </si>
  <si>
    <t>01.01.10</t>
  </si>
  <si>
    <t>01.01.11</t>
  </si>
  <si>
    <t>01.01.12</t>
  </si>
  <si>
    <t>01.01.13</t>
  </si>
  <si>
    <t>01.01.14</t>
  </si>
  <si>
    <t>01.01.15</t>
  </si>
  <si>
    <t>01.01.16</t>
  </si>
  <si>
    <t>01.01.17</t>
  </si>
  <si>
    <t>01.01.18</t>
  </si>
  <si>
    <t>01.01.19</t>
  </si>
  <si>
    <t>01.01.20</t>
  </si>
  <si>
    <t>01.01.21</t>
  </si>
  <si>
    <t>01.01.22</t>
  </si>
  <si>
    <t>01.01.23</t>
  </si>
  <si>
    <t>01.01.24</t>
  </si>
  <si>
    <t>01.01.25</t>
  </si>
  <si>
    <t>01.01.26</t>
  </si>
  <si>
    <t>01.01.27</t>
  </si>
  <si>
    <t>01.01.28</t>
  </si>
  <si>
    <t>01.01.29</t>
  </si>
  <si>
    <t>01.01.30</t>
  </si>
  <si>
    <t>01.01.31</t>
  </si>
  <si>
    <t>01.01.32</t>
  </si>
  <si>
    <t>01.01.33</t>
  </si>
  <si>
    <t>01.01.34</t>
  </si>
  <si>
    <t>01.01.35</t>
  </si>
  <si>
    <t>01.01.36</t>
  </si>
  <si>
    <t>01.01.37</t>
  </si>
  <si>
    <t>01.01.38</t>
  </si>
  <si>
    <t>01.01.39</t>
  </si>
  <si>
    <t>01.01.40</t>
  </si>
  <si>
    <t>01.01.41</t>
  </si>
  <si>
    <t>01.01.42</t>
  </si>
  <si>
    <t>01.01.43</t>
  </si>
  <si>
    <t>01.01.44</t>
  </si>
  <si>
    <t>01.01.45</t>
  </si>
  <si>
    <t>01.01.46</t>
  </si>
  <si>
    <t>01.01.47</t>
  </si>
  <si>
    <t>SANITÁRIOS</t>
  </si>
  <si>
    <t>01.02.19</t>
  </si>
  <si>
    <t>01.02.20</t>
  </si>
  <si>
    <t>01.02.21</t>
  </si>
  <si>
    <t>01.02.22</t>
  </si>
  <si>
    <t>01.02.23</t>
  </si>
  <si>
    <t>01.02.24</t>
  </si>
  <si>
    <t>01.02.25</t>
  </si>
  <si>
    <t>01.02.26</t>
  </si>
  <si>
    <t>01.02.27</t>
  </si>
  <si>
    <t>01.02.28</t>
  </si>
  <si>
    <t>01.02.29</t>
  </si>
  <si>
    <t>01.02.30</t>
  </si>
  <si>
    <t>01.02.31</t>
  </si>
  <si>
    <t>01.02.32</t>
  </si>
  <si>
    <t>01.02.33</t>
  </si>
  <si>
    <t>01.02.34</t>
  </si>
  <si>
    <t>01.02.35</t>
  </si>
  <si>
    <t>01.02.36</t>
  </si>
  <si>
    <t>01.02.37</t>
  </si>
  <si>
    <t>01.02.38</t>
  </si>
  <si>
    <t>01.02.39</t>
  </si>
  <si>
    <t>01.02.40</t>
  </si>
  <si>
    <t>01.02.41</t>
  </si>
  <si>
    <t>01.02.42</t>
  </si>
  <si>
    <t>01.02.43</t>
  </si>
  <si>
    <t>01.02.44</t>
  </si>
  <si>
    <t>01.02.45</t>
  </si>
  <si>
    <t>01.02.46</t>
  </si>
  <si>
    <t>01.02.47</t>
  </si>
  <si>
    <t>01.02.48</t>
  </si>
  <si>
    <t>01.02.49</t>
  </si>
  <si>
    <t>CAMPO</t>
  </si>
  <si>
    <t>01.03.09</t>
  </si>
  <si>
    <t>01.03.10</t>
  </si>
  <si>
    <t>01.03.11</t>
  </si>
  <si>
    <t>01.03.12</t>
  </si>
  <si>
    <t>01.03.13</t>
  </si>
  <si>
    <t>01.03.14</t>
  </si>
  <si>
    <t>01.03.15</t>
  </si>
  <si>
    <t>01.03.16</t>
  </si>
  <si>
    <t>01.03.17</t>
  </si>
  <si>
    <t>01.03.18</t>
  </si>
  <si>
    <t>01.03.19</t>
  </si>
  <si>
    <t>01.03.20</t>
  </si>
  <si>
    <t>01.03.21</t>
  </si>
  <si>
    <t>01.04</t>
  </si>
  <si>
    <t>01.04.01</t>
  </si>
  <si>
    <t>01.04.02</t>
  </si>
  <si>
    <t>01.04.03</t>
  </si>
  <si>
    <t>01.04.04</t>
  </si>
  <si>
    <t>01.04.05</t>
  </si>
  <si>
    <t>01.04.06</t>
  </si>
  <si>
    <t>01.04.07</t>
  </si>
  <si>
    <t>01.04.08</t>
  </si>
  <si>
    <t>01.04.09</t>
  </si>
  <si>
    <t>01.04.10</t>
  </si>
  <si>
    <t>01.04.11</t>
  </si>
  <si>
    <t>01.04.12</t>
  </si>
  <si>
    <t>01.05</t>
  </si>
  <si>
    <t>01.05.01</t>
  </si>
  <si>
    <t>01.05.02</t>
  </si>
  <si>
    <t>01.05.03</t>
  </si>
  <si>
    <t>01.05.04</t>
  </si>
  <si>
    <t>01.05.05</t>
  </si>
  <si>
    <t>01.05.06</t>
  </si>
  <si>
    <t>01.05.07</t>
  </si>
  <si>
    <t>01.06.01</t>
  </si>
  <si>
    <t>01.06.02</t>
  </si>
  <si>
    <t>01.06.03</t>
  </si>
  <si>
    <t>01.06.04</t>
  </si>
  <si>
    <t>PLAY GROUND</t>
  </si>
  <si>
    <t>CANTEIRO DE OBRA</t>
  </si>
  <si>
    <t>01.07</t>
  </si>
  <si>
    <t>01.07.01</t>
  </si>
  <si>
    <t>01.07.02</t>
  </si>
  <si>
    <t>01.07.03</t>
  </si>
  <si>
    <t>01.07.04</t>
  </si>
  <si>
    <t>ARENA - Amador Bueno</t>
  </si>
  <si>
    <t>Amador Bueno, Itapevi - SP</t>
  </si>
  <si>
    <t>19.01.062</t>
  </si>
  <si>
    <t>ARENA AMADOR BUENO</t>
  </si>
  <si>
    <t>01.01.48</t>
  </si>
  <si>
    <t>01.01.49</t>
  </si>
  <si>
    <t>01.01.50</t>
  </si>
  <si>
    <t>01.01.51</t>
  </si>
  <si>
    <t>01.01.52</t>
  </si>
  <si>
    <t>01.01.53</t>
  </si>
  <si>
    <t>01.01.54</t>
  </si>
  <si>
    <t>01.01.55</t>
  </si>
  <si>
    <t>01.01.56</t>
  </si>
  <si>
    <t>01.01.57</t>
  </si>
  <si>
    <t>01.01.58</t>
  </si>
  <si>
    <t>01.01.59</t>
  </si>
  <si>
    <t>01.02.50</t>
  </si>
  <si>
    <t>01.02.51</t>
  </si>
  <si>
    <t>01.02.52</t>
  </si>
  <si>
    <t>01.02.53</t>
  </si>
  <si>
    <t>01.02.54</t>
  </si>
  <si>
    <t>01.02.55</t>
  </si>
  <si>
    <t>01.02.56</t>
  </si>
  <si>
    <t>01.05.08</t>
  </si>
  <si>
    <t>01.05.09</t>
  </si>
  <si>
    <t>01.05.10</t>
  </si>
  <si>
    <t>ESPAÇO COMUNITÁRIO</t>
  </si>
  <si>
    <t>01.04.13</t>
  </si>
  <si>
    <t>01.04.14</t>
  </si>
  <si>
    <t>01.04.15</t>
  </si>
  <si>
    <t>01.04.16</t>
  </si>
  <si>
    <t>01.04.17</t>
  </si>
  <si>
    <t>01.04.18</t>
  </si>
  <si>
    <t>01.04.19</t>
  </si>
  <si>
    <t>01.04.20</t>
  </si>
  <si>
    <t>01.04.21</t>
  </si>
  <si>
    <t>01.04.22</t>
  </si>
  <si>
    <t>01.04.23</t>
  </si>
  <si>
    <t>01.04.24</t>
  </si>
  <si>
    <t>01.04.25</t>
  </si>
  <si>
    <t>01.05.11</t>
  </si>
  <si>
    <t>01.05.12</t>
  </si>
  <si>
    <t>01.06.05</t>
  </si>
  <si>
    <t>01.06.06</t>
  </si>
  <si>
    <t>01.06.07</t>
  </si>
  <si>
    <t>01.06.08</t>
  </si>
  <si>
    <t>01.06.09</t>
  </si>
  <si>
    <t>01.06.10</t>
  </si>
  <si>
    <t>01.08</t>
  </si>
  <si>
    <t>01.08.01</t>
  </si>
  <si>
    <t>01.08.02</t>
  </si>
  <si>
    <t>01.08.03</t>
  </si>
  <si>
    <t>01.08.04</t>
  </si>
  <si>
    <t>01.01.60</t>
  </si>
  <si>
    <t>01.01.61</t>
  </si>
  <si>
    <t>01.02.57</t>
  </si>
  <si>
    <t>01.02.58</t>
  </si>
  <si>
    <t>01.02.59</t>
  </si>
  <si>
    <t>Escavação Manual Em Solo De 1ª E 2ª Categoria Em Vala Ou Cava Até 1,5 M</t>
  </si>
  <si>
    <t>Apiloamento Do Fundo De Valas, Para Simples Regularização</t>
  </si>
  <si>
    <t>m2</t>
  </si>
  <si>
    <t>Lastro De Pedra Britada</t>
  </si>
  <si>
    <t>Armadura Em Barra De Aço Ca-50 (A Ou B) Fyk = 500 Mpa</t>
  </si>
  <si>
    <t>Concreto Usinado, Fck = 25 Mpa - Para Bombeamento</t>
  </si>
  <si>
    <t>Lançamento E Adensamento De Concreto Ou Massa Por Bombeamento</t>
  </si>
  <si>
    <t>Reaterro Manual Apiloado Sem Controle De Compactação</t>
  </si>
  <si>
    <t>Alvenaria De Bloco Cerâmico Estrutural, Uso Revestido, De 14 Cm</t>
  </si>
  <si>
    <t>Argamassa Graute</t>
  </si>
  <si>
    <t>Fornecimento De Estrutura Metálica Para Cobertura</t>
  </si>
  <si>
    <t>Montagem De Estrutura Metálica Para Cobertura</t>
  </si>
  <si>
    <t>Telha Galvalume / Aco Galv Sanduiche  E=30Mm (Pur) / (Pir) Superior Trapez H=40Mm / Inferior Plano  E= 0,50Mm  Com Pint Faces Aparentes</t>
  </si>
  <si>
    <t>Emboço Comum</t>
  </si>
  <si>
    <t>Revestimento Em Placa Cerâmica Esmaltada De 20X20 Cm, Tipo Monocolor, Assentado E Rejuntado Com Argamassa Industrializada</t>
  </si>
  <si>
    <t>Rejuntamento Em Placas Cerâmicas Com Argamassa Industrializada Para Rejunte, Juntas Acima De 3 Até 5 Mm</t>
  </si>
  <si>
    <t>Caixilho Em Ferro Basculante, Sob Medida</t>
  </si>
  <si>
    <t>Vidro Fantasia De 3/4 Mm</t>
  </si>
  <si>
    <t>Tela De Proteção Em Arame N.12, Malha De 1/2" - Inclusive Requadro</t>
  </si>
  <si>
    <t>Ep.07 - Grade De Proteção Em Ferro Chato</t>
  </si>
  <si>
    <t>Tubo De Pvc Rígido Soldável Marrom, Dn= 25 Mm, (3/4´), Inclusive Conexões</t>
  </si>
  <si>
    <t>Tubo De Pvc Rígido Soldável Marrom, Dn= 32 Mm, (1´), Inclusive Conexões</t>
  </si>
  <si>
    <t>Tubo De Pvc Rígido Soldável Marrom, Dn= 50 Mm, (1 1/2´), Inclusive Conexões</t>
  </si>
  <si>
    <t>Tubo De Pvc Rígido Branco, Pontas Lisas, Soldável, Linha Esgoto Série Normal, Dn= 40 Mm, Inclusive Conexões</t>
  </si>
  <si>
    <t>Tubo De Pvc Rígido Branco Pxb Com Virola E Anel De Borracha, Linha Esgoto Série Normal, Dn= 75 Mm, Inclusive Conexões</t>
  </si>
  <si>
    <t>Tubo De Pvc Rígido Branco Pxb Com Virola E Anel De Borracha, Linha Esgoto Série Normal, Dn= 100 Mm, Inclusive Conexões</t>
  </si>
  <si>
    <t>Registro De Pressão Em Latão Fundido Cromado Com Canopla, Dn= 3/4´ - Linha Especial</t>
  </si>
  <si>
    <t>Registro De Gaveta Em Latão Fundido Sem Acabamento, Dn= 3/4´</t>
  </si>
  <si>
    <t>Registro De Gaveta Em Latão Fundido Sem Acabamento, Dn= 1´</t>
  </si>
  <si>
    <t>Registro De Gaveta Em Latão Fundido Sem Acabamento, Dn= 1 1/2´</t>
  </si>
  <si>
    <t>Lavatório Em Louça Com Coluna Suspensa</t>
  </si>
  <si>
    <t>Sifão Plástico Com Copo, Rígido, De 1´ X 1 1/2´</t>
  </si>
  <si>
    <t>Caixa Sifonada De Pvc Rígido De 100 X 100 X 50 Mm, Com Grelha</t>
  </si>
  <si>
    <t>Ralo Seco Em Pvc Rígido De 100 X 40 Mm, Com Grelha</t>
  </si>
  <si>
    <t>Bacia Sifonada Com Caixa De Descarga Acoplada Sem Tampa - 6 Litros</t>
  </si>
  <si>
    <t>Divisória Em Placas De Granilite Com Espessura De 3 Cm</t>
  </si>
  <si>
    <t>Porta Lisa Com Batente Em Alumínio, Largura 60 Cm, Altura De 105 A 200 Cm</t>
  </si>
  <si>
    <t>Ferragem Completa Para Porta De Box De Wc Tipo Livre/Ocupado</t>
  </si>
  <si>
    <t>Porta/Portão De Abrir Em Chapa, Sob Medida</t>
  </si>
  <si>
    <t>Si-01 Placa De Sinalização De Ambiente 200X200Mm (Porta)</t>
  </si>
  <si>
    <t>Si-07 Placa De Sinalização De Ambiente 500X60Mm (Parede Interna) / Braille</t>
  </si>
  <si>
    <t>Esmalte A Base De Água Em Estrutura Metálica</t>
  </si>
  <si>
    <t>Esmalte À Base Água Em Superfície Metálica, Inclusive Preparo</t>
  </si>
  <si>
    <t>Tinta Acrílica Antimofo Em Massa, Inclusive Preparo</t>
  </si>
  <si>
    <t>Esmalte À Base De Água Em Madeira, Inclusive Preparo</t>
  </si>
  <si>
    <t>Bb-02 Bebedouro Acessível Água Refrigerada Pressão Mínima 8Mca - Fornecido E Instalado</t>
  </si>
  <si>
    <t>Chuveiro Elétrico De 5.500 W / 220 V Em Pvc</t>
  </si>
  <si>
    <t>Quadro De Distribuição Universal De Embutir, Para Disjuntores 16 Din / 12 Bolt-On - 150 A - Sem Componentes</t>
  </si>
  <si>
    <t>Cabo De Cobre De 2,5 Mm², Isolamento 750 V - Isolação Em Pvc 70°C</t>
  </si>
  <si>
    <t>Cabo De Cobre De 4 Mm², Isolamento 750 V - Isolação Em Pvc 70°C</t>
  </si>
  <si>
    <t>Luminária Retangular De Sobrepor Tipo Calha Aberta, Para 2 Lâmpadas Fluorescentes Tubulares De 32 W</t>
  </si>
  <si>
    <t>Luminária Blindada Tipo Arandela De 45º E 90º, Para Lâmpada Led</t>
  </si>
  <si>
    <t>Interruptor Com 2 Teclas Simples E Placa</t>
  </si>
  <si>
    <t>Conjunto 2 Tomadas 2P+T De 10 A, Completo</t>
  </si>
  <si>
    <t>Tomada 2P+T De 20 A - 250 V, Completa</t>
  </si>
  <si>
    <t>Placa De Identificação Em Alumínio Para Wc, Com Desenho Universal De Acessibilidade</t>
  </si>
  <si>
    <t>Br-01 Bacia P/ Sanitario Acessivel</t>
  </si>
  <si>
    <t>Br-02 Lavatorio  Para Sanitario Acessivel</t>
  </si>
  <si>
    <t>Interruptor Com 1 Tecla Simples E Placa</t>
  </si>
  <si>
    <t>Fornecimento E Montagem De Estrutura Metálica Vertical - Patinável</t>
  </si>
  <si>
    <t>Limpeza Mecanizada Do Terreno, Inclusive Troncos Até 15 Cm De Diâmetro, Com Caminhão À Disposição Dentro E Fora Da Obra, Com Transporte No Raio De Até 1 Km</t>
  </si>
  <si>
    <t>Escavação E Carga Mecanizada Em Solo De 1ª Categoria, Em Campo Aberto</t>
  </si>
  <si>
    <t>Carga E Remoção De Terra Até A Distância Média De 1 Km</t>
  </si>
  <si>
    <t>Taxa De Destinação De Resíduo Sólido Em Aterro, Tipo Solo/Terra</t>
  </si>
  <si>
    <t>Tubo Em Polietileno De Alta Densidade Corrugado Perfurado, Dn= 4´, Inclusive Conexões</t>
  </si>
  <si>
    <t>Tubo Em Polietileno De Alta Densidade Corrugado Perfurado, Dn= 6´, Inclusive Conexões</t>
  </si>
  <si>
    <t>Tubo Em Polietileno De Alta Densidade Corrugado Perfurado, Dn= 8´, Inclusive Conexões</t>
  </si>
  <si>
    <t>Caixa De Ligação Ou Inspeção - Escavação E Apiloamento</t>
  </si>
  <si>
    <t>m3</t>
  </si>
  <si>
    <t>Caixa De Ligação Ou Inspeção - Lastro De Concreto (Fundo)</t>
  </si>
  <si>
    <t>Caixa De Ligação Ou Inspeção - Alvenaria De 1/2 Tijolo, Revestida</t>
  </si>
  <si>
    <t>Caixa De Ligação Ou Inspeção - Tampa De Concreto</t>
  </si>
  <si>
    <t>Manta Geotêxtil Com Resistência À Tração Longitudinal De 31Kn/M E Transversal De 27Kn/M</t>
  </si>
  <si>
    <t>Envolvimento De Tubos Com Brita</t>
  </si>
  <si>
    <t>Hc.01 - Canaleta De Concreto De A.P.P/Tampa/Grelha De Concreto Ou Ferro L=30Cm</t>
  </si>
  <si>
    <t>Hc.05 - Grelha De Concreto Para Canaleta - L=30Cm - Sem Passagem De Veículos</t>
  </si>
  <si>
    <t>Compactação De Aterro Mecanizado Mínimo De 95% Pn, Sem Fornecimento De Solo Em Campo Aberto</t>
  </si>
  <si>
    <t>Base De Brita Graduada</t>
  </si>
  <si>
    <t>Revestimento Primário Com Pedra Britada, Compactação Mínima De 95% Do Pn</t>
  </si>
  <si>
    <t>Imprimação Betuminosa Ligante</t>
  </si>
  <si>
    <t>Revestimento Em Grama Sintética, Com Espessura De 20 A 32 Mm</t>
  </si>
  <si>
    <t>Alambrado Em Tela De Aço Galvanizado De 2´, Montantes Metálicos Retos</t>
  </si>
  <si>
    <t>Portão De 2 Folhas, Tubular Em Tela De Aço Galvanizado Acima De 2,50 M De Altura, Completo</t>
  </si>
  <si>
    <t>Plantio De Grama Batatais Em Placas (Praças E Áreas Abertas)</t>
  </si>
  <si>
    <t>Placa De Identificação Para Estacionamento, Com Desenho Universal De Acessibilidade, Tipo Pedestal</t>
  </si>
  <si>
    <t>Sinalização Com Pictograma Para Vaga De Estacionamento</t>
  </si>
  <si>
    <t>Sinalização Com Pictograma Para Vaga De Estacionamento, Com Faixas Demarcatórias</t>
  </si>
  <si>
    <t>Cabo De Cobre De 10 Mm², Isolamento 750 V - Isolação Em Pvc 70°C</t>
  </si>
  <si>
    <t>Quadro De Distribuição Universal De Embutir, Para Disjuntores 56 Din / 40 Bolt-On - 225 A - Sem Componentes</t>
  </si>
  <si>
    <t>Balanço Duplo Em Madeira Rústica</t>
  </si>
  <si>
    <t>Gangorra Dupla Em Madeira Rústica</t>
  </si>
  <si>
    <t>Gira-Gira Em Ferro Com Assento De Madeira (8 Lugares)</t>
  </si>
  <si>
    <t>Locação De Container Tipo Escritório Com 1 Vaso Sanitário, 1 Lavatório E 1 Ponto Para Chuveiro - Área Mínima De 13,80 M²</t>
  </si>
  <si>
    <t>Locação De Container Tipo Sanitário Com 2 Vasos Sanitários, 2 Lavatórios, 2 Mictórios E 4 Pontos Para Chuveiro - Área Mínima De 13,80 M²</t>
  </si>
  <si>
    <t>Locação De Container Tipo Depósito - Área Mínima De 13,80 M²</t>
  </si>
  <si>
    <t>01.01.62</t>
  </si>
  <si>
    <t>01.01.63</t>
  </si>
  <si>
    <t>01.02.60</t>
  </si>
  <si>
    <t>01.02.61</t>
  </si>
  <si>
    <t>01.02.62</t>
  </si>
  <si>
    <t>01.02.63</t>
  </si>
  <si>
    <t>01.03.22</t>
  </si>
  <si>
    <t>01.03.23</t>
  </si>
  <si>
    <t>01.03.24</t>
  </si>
  <si>
    <t>01.03.25</t>
  </si>
  <si>
    <t>01.08.05</t>
  </si>
  <si>
    <t>01.05.13</t>
  </si>
  <si>
    <t>01.05.14</t>
  </si>
  <si>
    <t>01.05.15</t>
  </si>
  <si>
    <t>01.05.16</t>
  </si>
  <si>
    <t>01.05.17</t>
  </si>
  <si>
    <t>Siurb (Edif)-Jul/20</t>
  </si>
  <si>
    <t>08.12.021</t>
  </si>
  <si>
    <t>07.04.034</t>
  </si>
  <si>
    <t>16.08.028</t>
  </si>
  <si>
    <t>01.01.64</t>
  </si>
  <si>
    <t>01.01.65</t>
  </si>
  <si>
    <t>01.01.66</t>
  </si>
  <si>
    <t>01.01.67</t>
  </si>
  <si>
    <t>01.01.68</t>
  </si>
  <si>
    <t>01.01.69</t>
  </si>
  <si>
    <t>01.01.70</t>
  </si>
  <si>
    <t>01.01.71</t>
  </si>
  <si>
    <t>01.01.72</t>
  </si>
  <si>
    <t>01.01.73</t>
  </si>
  <si>
    <t>01.01.74</t>
  </si>
  <si>
    <t>01.01.75</t>
  </si>
  <si>
    <t>01.01.76</t>
  </si>
  <si>
    <t>01.01.77</t>
  </si>
  <si>
    <t>01.01.78</t>
  </si>
  <si>
    <t>11.04.012</t>
  </si>
  <si>
    <t>11.04.004</t>
  </si>
  <si>
    <t>13.80.033</t>
  </si>
  <si>
    <t>08.02.005</t>
  </si>
  <si>
    <t>05.05.101</t>
  </si>
  <si>
    <t>08.16.094</t>
  </si>
  <si>
    <t>01.01.79</t>
  </si>
  <si>
    <t>01.01.80</t>
  </si>
  <si>
    <t>01.02.64</t>
  </si>
  <si>
    <t>01.02.65</t>
  </si>
  <si>
    <t>01.02.66</t>
  </si>
  <si>
    <t>01.02.67</t>
  </si>
  <si>
    <t>01.02.68</t>
  </si>
  <si>
    <t>01.02.69</t>
  </si>
  <si>
    <t>01.02.70</t>
  </si>
  <si>
    <t>01.02.71</t>
  </si>
  <si>
    <t>01.02.72</t>
  </si>
  <si>
    <t>01.02.73</t>
  </si>
  <si>
    <t>01.01.81</t>
  </si>
  <si>
    <t>01.02.74</t>
  </si>
  <si>
    <t>01.01.82</t>
  </si>
  <si>
    <t>01.02.75</t>
  </si>
  <si>
    <t>01.02.76</t>
  </si>
  <si>
    <t>01.02.77</t>
  </si>
  <si>
    <t>PISTA DE CAMINHADA</t>
  </si>
  <si>
    <t>EQUIPAMENTOS DE GINASICA AO AR LIVRE</t>
  </si>
  <si>
    <t>16.02.027</t>
  </si>
  <si>
    <t>06.03.066</t>
  </si>
  <si>
    <t>ADMINISTRAÇÃO LOCAL</t>
  </si>
  <si>
    <t>16.03.224</t>
  </si>
  <si>
    <t>16.03.223</t>
  </si>
  <si>
    <t>IMPLANTAÇÃO</t>
  </si>
  <si>
    <t>REVESTIMENTO DO MURO DE DIVISA EXISTENTE</t>
  </si>
  <si>
    <t>01.02.78</t>
  </si>
  <si>
    <t>01.02.79</t>
  </si>
  <si>
    <t>01.03.26</t>
  </si>
  <si>
    <t>01.03.27</t>
  </si>
  <si>
    <t>01.03.28</t>
  </si>
  <si>
    <t>01.03.29</t>
  </si>
  <si>
    <t>01.03.30</t>
  </si>
  <si>
    <t>01.03.31</t>
  </si>
  <si>
    <t>01.03.32</t>
  </si>
  <si>
    <t>01.03.33</t>
  </si>
  <si>
    <t>01.03.34</t>
  </si>
  <si>
    <t>01.03.35</t>
  </si>
  <si>
    <t>01.03.36</t>
  </si>
  <si>
    <t>01.03.37</t>
  </si>
  <si>
    <t>01.03.38</t>
  </si>
  <si>
    <t>01.03.39</t>
  </si>
  <si>
    <t>01.03.40</t>
  </si>
  <si>
    <t>01.03.41</t>
  </si>
  <si>
    <t>01.03.42</t>
  </si>
  <si>
    <t>01.03.43</t>
  </si>
  <si>
    <t>01.04.26</t>
  </si>
  <si>
    <t>01.04.27</t>
  </si>
  <si>
    <t>01.04.28</t>
  </si>
  <si>
    <t>01.04.29</t>
  </si>
  <si>
    <t>01.04.30</t>
  </si>
  <si>
    <t>01.04.31</t>
  </si>
  <si>
    <t>01.04.32</t>
  </si>
  <si>
    <t>01.05.18</t>
  </si>
  <si>
    <t>01.05.19</t>
  </si>
  <si>
    <t>01.05.20</t>
  </si>
  <si>
    <t>01.05.21</t>
  </si>
  <si>
    <t>01.05.22</t>
  </si>
  <si>
    <t>01.05.23</t>
  </si>
  <si>
    <t>01.05.24</t>
  </si>
  <si>
    <t>01.05.25</t>
  </si>
  <si>
    <t>01.07.05</t>
  </si>
  <si>
    <t>01.07.06</t>
  </si>
  <si>
    <t>01.07.07</t>
  </si>
  <si>
    <t>01.07.08</t>
  </si>
  <si>
    <t>01.07.09</t>
  </si>
  <si>
    <t>01.07.10</t>
  </si>
  <si>
    <t>01.07.11</t>
  </si>
  <si>
    <t>01.07.12</t>
  </si>
  <si>
    <t>01.07.13</t>
  </si>
  <si>
    <t>01.07.14</t>
  </si>
  <si>
    <t>01.07.15</t>
  </si>
  <si>
    <t>01.08.06</t>
  </si>
  <si>
    <t>01.08.07</t>
  </si>
  <si>
    <t>01.09</t>
  </si>
  <si>
    <t>01.09.01</t>
  </si>
  <si>
    <t>01.09.02</t>
  </si>
  <si>
    <t>01.09.03</t>
  </si>
  <si>
    <t>01.09.04</t>
  </si>
  <si>
    <t>01.09.05</t>
  </si>
  <si>
    <t>01.09.06</t>
  </si>
  <si>
    <t>01.09.07</t>
  </si>
  <si>
    <t>01.09.08</t>
  </si>
  <si>
    <t>01.09.09</t>
  </si>
  <si>
    <t>01.09.10</t>
  </si>
  <si>
    <t>01.09.11</t>
  </si>
  <si>
    <t>01.09.12</t>
  </si>
  <si>
    <t>01.09.13</t>
  </si>
  <si>
    <t>01.09.14</t>
  </si>
  <si>
    <t>01.10</t>
  </si>
  <si>
    <t>01.10.01</t>
  </si>
  <si>
    <t>01.10.02</t>
  </si>
  <si>
    <t>01.10.03</t>
  </si>
  <si>
    <t>01.10.04</t>
  </si>
  <si>
    <t>01.10.05</t>
  </si>
  <si>
    <t>01.11</t>
  </si>
  <si>
    <t>01.11.01</t>
  </si>
  <si>
    <t>01.11.02</t>
  </si>
  <si>
    <t>01.11.03</t>
  </si>
  <si>
    <t>01.11.04</t>
  </si>
  <si>
    <t>01.12</t>
  </si>
  <si>
    <t>01.12.01</t>
  </si>
  <si>
    <t>01.12.02</t>
  </si>
  <si>
    <t>01.12.03</t>
  </si>
  <si>
    <t>01.12.04</t>
  </si>
  <si>
    <t>01.13</t>
  </si>
  <si>
    <t>01.13.01</t>
  </si>
  <si>
    <t>01.13.02</t>
  </si>
  <si>
    <t>01.13.03</t>
  </si>
  <si>
    <t>01.13.04</t>
  </si>
  <si>
    <t>08.01.001</t>
  </si>
  <si>
    <t>01.07.16</t>
  </si>
  <si>
    <t>01.07.17</t>
  </si>
  <si>
    <t>01.07.18</t>
  </si>
  <si>
    <t>01.07.19</t>
  </si>
  <si>
    <t>01.07.20</t>
  </si>
  <si>
    <t>01.07.21</t>
  </si>
  <si>
    <t>01.07.22</t>
  </si>
  <si>
    <t>01.07.23</t>
  </si>
  <si>
    <t>01.07.24</t>
  </si>
  <si>
    <t>01.07.25</t>
  </si>
  <si>
    <t>01.07.26</t>
  </si>
  <si>
    <t>01.07.27</t>
  </si>
  <si>
    <t>01.07.28</t>
  </si>
  <si>
    <t>01.07.29</t>
  </si>
  <si>
    <t>01.07.30</t>
  </si>
  <si>
    <t>01.07.31</t>
  </si>
  <si>
    <t>01.07.32</t>
  </si>
  <si>
    <t>01.07.33</t>
  </si>
  <si>
    <t>01.07.34</t>
  </si>
  <si>
    <t>01.07.35</t>
  </si>
  <si>
    <t>01.07.36</t>
  </si>
  <si>
    <t>01.07.37</t>
  </si>
  <si>
    <t>01.07.010</t>
  </si>
  <si>
    <t>16.02.029</t>
  </si>
  <si>
    <t>16.07.012</t>
  </si>
  <si>
    <t>06.03.100</t>
  </si>
  <si>
    <t>06.03.109</t>
  </si>
  <si>
    <t>16.18.077</t>
  </si>
  <si>
    <t>01.07.38</t>
  </si>
  <si>
    <t>01.07.39</t>
  </si>
  <si>
    <t>01.07.40</t>
  </si>
  <si>
    <t>01.07.41</t>
  </si>
  <si>
    <t>01.07.42</t>
  </si>
  <si>
    <t>01.07.43</t>
  </si>
  <si>
    <t>01.07.44</t>
  </si>
  <si>
    <t>01.07.45</t>
  </si>
  <si>
    <t>01.07.46</t>
  </si>
  <si>
    <t>01.07.47</t>
  </si>
  <si>
    <t>01.07.48</t>
  </si>
  <si>
    <t>01.07.49</t>
  </si>
  <si>
    <t>01.07.50</t>
  </si>
  <si>
    <t>01.07.51</t>
  </si>
  <si>
    <t>01.07.52</t>
  </si>
  <si>
    <t>01.07.53</t>
  </si>
  <si>
    <t>01.07.54</t>
  </si>
  <si>
    <t>01.07.55</t>
  </si>
  <si>
    <t>01.07.56</t>
  </si>
  <si>
    <t>12.01.041</t>
  </si>
  <si>
    <t>Sinapi-Fev/21</t>
  </si>
  <si>
    <t>CDHU-181</t>
  </si>
  <si>
    <t>FDE-Jan/21</t>
  </si>
  <si>
    <t>01.13.05</t>
  </si>
  <si>
    <t>SIURB (Edif)-Jul/20 | CDHU-181 | FDE-Jan/21 | Sinapi-Fev/21</t>
  </si>
  <si>
    <t>Estaca Escavada Mecanicamente, Diâmetro De 25 Cm Até 20 T</t>
  </si>
  <si>
    <t>Lastro De Areia</t>
  </si>
  <si>
    <t>Forma Em Madeira Comum Para Fundação</t>
  </si>
  <si>
    <t>Forma Plana Em Compensado Para Estrutura Convencional</t>
  </si>
  <si>
    <t>Tela Q-138 E Espaçador Treliçado P/Piso De Concreto</t>
  </si>
  <si>
    <t>Impermeabilização Em Membrana De Asfalto Modificado Com Elastômeros, Na Cor Preta</t>
  </si>
  <si>
    <t>Transporte De Solo De 1ª E 2ª Categoria Por Caminhão Para Distâncias Superiores Ao 15° Km Até O 20° Km</t>
  </si>
  <si>
    <t>Placa Cerâmica Esmaltada Antiderrapante Pei-5 Para Área Interna Com Saída Para O Exterior, Grupo De Absorção Biia, Resistência Química A, Assentado Com Argamassa Colante Industrializada</t>
  </si>
  <si>
    <t>Peitoril E/Ou Soleira Em Granito, Espessura De 2 Cm E Largura Até 20 Cm, Acabamento Polido</t>
  </si>
  <si>
    <t>Calha Ou Agua Furtada Em Chapa Galv. N 26 - Corte 0.33M</t>
  </si>
  <si>
    <t>Cumeeira Aco Pint Po/Coil-Coating Perfil Ond/Trap E=0,65Mm H Ate 40Mm</t>
  </si>
  <si>
    <t>Ci-01 Caixa De Inspecao 60X60Cm Para Esgoto</t>
  </si>
  <si>
    <t>Engate Flexível Em Plástico Branco, 1/2 X 30Cm - Fornecimento E Instalação. Af_01/2020</t>
  </si>
  <si>
    <t>Tubo De Pvc Rígido Soldável Marrom, Dn= 40 Mm, (1 1/4´), Inclusive Conexões</t>
  </si>
  <si>
    <t>Tubo De Pvc Rígido Branco Pxb Com Virola E Anel De Borracha, Linha Esgoto Série Normal, Dn= 50 Mm, Inclusive Conexões</t>
  </si>
  <si>
    <t>Registro De Gaveta Em Latão Fundido Sem Acabamento, Dn= 1 1/4´</t>
  </si>
  <si>
    <t>Torneira De Parede Antivandalismo, Dn= 3/4´</t>
  </si>
  <si>
    <t>Mictório Sifonado Louça Branca  Padrão Médio  Fornecimento E Instalação. Af_01/2020</t>
  </si>
  <si>
    <t>Válvula De Mictório Antivandalismo, Dn= 3/4´</t>
  </si>
  <si>
    <t>Eletroduto Galvanizado, Pesado De 1´ - Com Acessórios</t>
  </si>
  <si>
    <t>Eletroduto De Pvc Corrugado Flexível Leve, Diâmetro Externo De 25 Mm</t>
  </si>
  <si>
    <t>Lâmpada Fluorescente Tubular, Base Bipino Bilateral De 32 W, Com Camada Trifósforo</t>
  </si>
  <si>
    <t>Lâmpada Led 13,5W, Com Base E-27, 1400 Até 1510Lm</t>
  </si>
  <si>
    <t>Caixa Em Pvc De 4´ X 2´</t>
  </si>
  <si>
    <t>Trocador Acessível Em Mdf Com Revestimento Em Laminado Melamínico De 180X80Cm</t>
  </si>
  <si>
    <t>Br-06 Chuveiro Acessivel</t>
  </si>
  <si>
    <t>Barra De Apoio Reta, Em Aluminio, Comprimento 90 Cm,  Fixada Na Parede - Fornecimento E Instalação. Af_01/2020</t>
  </si>
  <si>
    <t>Sistema De Alarme Pne Com Indicador Audiovisual, Para Pessoas Com Mobilidade Reduzida Ou Cadeirante</t>
  </si>
  <si>
    <t>Ag-08 Abrigo Para Gas Com 2 Bujoes De 13 Kg</t>
  </si>
  <si>
    <t>Cc-01 Cuba Inox (60X50X30Cm) Inclusive Válvula Americana-Granito</t>
  </si>
  <si>
    <t>Caixa De Gordura Em Alvenaria, 600 X 600 X 600 Mm</t>
  </si>
  <si>
    <t>Transporte De Terra Por Caminhão Basculante, A Partir De 1Km</t>
  </si>
  <si>
    <t>m3xkm</t>
  </si>
  <si>
    <t>Tubo Em Polietileno De Alta Densidade Corrugado, Dn/Di= 300 Mm</t>
  </si>
  <si>
    <t>Tubo De Concreto (Ps-1), Dn= 400Mm</t>
  </si>
  <si>
    <t>Alvenaria De Bloco De Concreto De Vedação De 14 X 19 X 39 Cm - Classe C</t>
  </si>
  <si>
    <t>Tinta Acrílica Em Massa, Inclusive Preparo</t>
  </si>
  <si>
    <t>Isopor Para Suporte De Mastique</t>
  </si>
  <si>
    <t>Juntas De Dilatacao/Mastique Elastico Ou Poliuretano</t>
  </si>
  <si>
    <t>c3</t>
  </si>
  <si>
    <t>Blocos Vazados De Concreto Estrutural - 19Cm - Até 6Mpa</t>
  </si>
  <si>
    <t>Armação De Cinta De Alvenaria Estrutural; Diâmetro De 10,0 Mm. Af_01/2015</t>
  </si>
  <si>
    <t>Armação Vertical De Alvenaria Estrutural; Diâmetro De 10,0 Mm. Af_01/2015</t>
  </si>
  <si>
    <t>Grauteamento Vertical Em Alvenaria Estrutural. Af_01/2015</t>
  </si>
  <si>
    <t>Escavação Manual,  Profundidade Igual Ou Inferior A 1,50M</t>
  </si>
  <si>
    <t>Lastro Com Material Granular (Pedra Britada N.1 E Pedra Britada N.2), Aplicado Em Pisos Ou Lajes Sobre Solo, Espessura De *10 Cm*. Af_07/2019</t>
  </si>
  <si>
    <t>Execução De Passeio (Calçada) Ou Piso De Concreto Com Concreto Moldado In Loco, Feito Em Obra, Acabamento Convencional, Espessura 10 Cm, Armado. Af_07/2016</t>
  </si>
  <si>
    <t>Piso De Borracha Esportivo, Espessura 15Mm, Assentado Com Argamassa. Af_09/2020</t>
  </si>
  <si>
    <t>Ac-04 Abrigo E Cavalete De 3/4" Completo 85X65X30Cm</t>
  </si>
  <si>
    <t>Registro De Esfera, Pvc, Roscável, 3/4", Fornecido E Instalado Em Ramal De Água. Af_03/2015</t>
  </si>
  <si>
    <t>Válvula De Esfera Monobloco Em Latão, Passagem Plena, Acionamento Com Alavanca, Dn= 3/4´</t>
  </si>
  <si>
    <t>Fixação De Tubos Horizontais De Pvc, Cpvc Ou Cobre Diâmetros Menores Ou Iguais A 40 Mm Com Abraçadeira Metálica Flexível 18 Mm, Fixada Diretamente Na Laje. Af_05/2015</t>
  </si>
  <si>
    <t>(Composição Representativa) Do Serviço De Instalação De Tubos De Pvc, Soldável, Água Fria, Dn 20 Mm (Instalado Em Ramal, Sub-Ramal Ou Ramal De Distribuição), Inclusive Conexões, Cortes E Fixações, Para Prédios. Af_10/2015</t>
  </si>
  <si>
    <t>(Composição Representativa) Do Serviço De Instalação De Tubos De Pvc, Soldável, Água Fria, Dn 25 Mm (Instalado Em Ramal, Sub-Ramal, Ramal De Distribuição Ou Prumada), Inclusive Conexões, Cortes E Fixações, Para Prédios. Af_10/2015</t>
  </si>
  <si>
    <t>(Composição Representativa) Do Serviço De Instalação Tubos De Pvc, Soldável, Água Fria, Dn 32 Mm (Instalado Em Ramal, Sub-Ramal, Ramal De Distribuição Ou Prumada), Inclusive Conexões, Cortes E Fixações, Para Prédios. Af_10/2015</t>
  </si>
  <si>
    <t>(Composição Representativa) Do Serviço De Instalação De Tubos De Pvc, Soldável, Água Fria, Dn 40 Mm (Instalado Em Prumada), Inclusive Conexões, Cortes E Fixações, Para Prédios. Af_10/2015</t>
  </si>
  <si>
    <t>(Composição Representativa) Do Serviço De Inst. Tubo Pvc, Série N, Esgoto Predial, Dn 75 Mm, (Inst. Em Ramal De Descarga, Ramal De Esg. Sanitário, Prumada De Esg. Sanitário Ou Ventilação), Incl. Conexões, Cortes E Fixações, P/ Prédios. Af_10/2015</t>
  </si>
  <si>
    <t>Reservatório Em Polietileno Com Tampa De Rosca - Capacidade De 1.000 Litros</t>
  </si>
  <si>
    <t>Broca Em Concreto Armado Diâmetro De 25 Cm - Completa</t>
  </si>
  <si>
    <t>Lastro De Concreto - 5 Cm</t>
  </si>
  <si>
    <t>Concreto Usinado, Fck = 30 Mpa - Para Bombeamento</t>
  </si>
  <si>
    <t>Ga-03 Guia E Sarjeta Tipo Pmsp</t>
  </si>
  <si>
    <t>Pavimentação Em Lajota De Concreto 35 Mpa, Espessura 6 Cm, Cor Natural, Tipos: Raquete, Retangular, Sextavado E 16 Faces, Com Rejunte Em Areia</t>
  </si>
  <si>
    <t>Bate-Roda Em Concreto Pré-Moldado</t>
  </si>
  <si>
    <t>Bl-02 Bicicletário Sobre Cimentado Ou Bloco Intertravado</t>
  </si>
  <si>
    <t>Ga-01 Guia Leve Ou Separador De Pisos</t>
  </si>
  <si>
    <t>Fp.02 - Gradil De Ferro Perfilado, Tipo Parque Com Mureta - Gpm-1/Depave</t>
  </si>
  <si>
    <t>Aplicação Manual De Pintura Com Tinta Látex Pva Em Paredes, Duas Demãos. Af_06/2014</t>
  </si>
  <si>
    <t>Co-34 Corrimão Duplo Aço Galvanizado Com Pintura Esmalte.</t>
  </si>
  <si>
    <t>Co-43 Guarda-Corpo Com Gradil De Fechamento H=110Cm  Aço Galvanizado Com Pintura Esmalte</t>
  </si>
  <si>
    <t>Si-08 Placa De Sinalização De Corrimão 30X30Mm (Metálica/Braille)</t>
  </si>
  <si>
    <t>Piso Podotátil, Alerta Ou Direcional, Em Ladrilho Hidráulico</t>
  </si>
  <si>
    <t>Conjunto De 4 Lixeiras Para Coleta Seletiva, Com Tampa Basculante, Capacidade 50 Litros</t>
  </si>
  <si>
    <t>Entrada Aérea De Energia E Telefone - 55 À 62Kva</t>
  </si>
  <si>
    <t>Poste Telecônico Reto Em Aço Sae 1010/1020 Galvanizado A Fogo, Altura De 10,00 M</t>
  </si>
  <si>
    <t>Cruzeta Reforçada Em Ferro Galvanizado Para Fixação De Duas Luminárias</t>
  </si>
  <si>
    <t>Braço Em Tubo De Ferro Galvanizado De 1´ X 1,00 M Para Fixação De Uma Luminária</t>
  </si>
  <si>
    <t>Luminária Led Retangular Para Poste De 14.160 Até 17.475 Lm, Eficiência Mínima 118 Lm/W</t>
  </si>
  <si>
    <t>Lc.02 - Iluminação De Quadra Com Poste Concreto Tubular H Liv.=10M Com 3 Projetores Vapor Mercúrio 400W</t>
  </si>
  <si>
    <t>Playground Brinquedos De Madeira - Casa Tarzan Com Rampa Escalada, Escorregador E Escada Marinheiro</t>
  </si>
  <si>
    <t>Brinquedo Tipo Balanço Frontal Duplo Para Cadeirante Com Estrutura Em Tubos De Aço Carbono - Instalado</t>
  </si>
  <si>
    <t>Puxador Peitoral Duplo Star</t>
  </si>
  <si>
    <t>Multi Exercitador Conjugado Com 6 Funções</t>
  </si>
  <si>
    <t>Pressão De Pernas Triplo Conjugado</t>
  </si>
  <si>
    <t>Esqui Triplo Conjugado</t>
  </si>
  <si>
    <t>Twist Triplo</t>
  </si>
  <si>
    <t>Rotação Vertical Triplo Conjugado</t>
  </si>
  <si>
    <t>Placa Orientadora Vertical</t>
  </si>
  <si>
    <t>Limpeza De Superfícies Com Hidrojateamento</t>
  </si>
  <si>
    <t>Rufo Externo/Interno Em Chapa De Aço Galvanizado Número 26, Corte De 33 Cm, Incluso Içamento. Af_07/2019</t>
  </si>
  <si>
    <t>Chapisco Aplicado Em Alvenaria (Sem Presença De Vãos) E Estruturas De Concreto De Fachada, Com Colher De Pedreiro.  Argamassa Traço 1:3 Com Preparo Em Betoneira 400L. Af_06/2014</t>
  </si>
  <si>
    <t>Emboço Ou Massa Única Em Argamassa Traço 1:2:8, Preparo Mecânico Com Betoneira 400 L, Aplicada Manualmente Em Panos Cegos De Fachada (Sem Presença De Vãos), Espessura De 25 Mm. Af_06/2014</t>
  </si>
  <si>
    <t>Aplicação Manual De Pintura Com Tinta Látex Acrílica Em Paredes, Duas Demãos. Af_06/2014</t>
  </si>
  <si>
    <t>Engenheiro Civil De Obra Pleno Com Encargos Complementares</t>
  </si>
  <si>
    <t>h</t>
  </si>
  <si>
    <t>Mestre De Obras Com Encargos Complementares</t>
  </si>
  <si>
    <t>mes</t>
  </si>
  <si>
    <t>Encarregado Geral De Obras Com Encargos Complementares</t>
  </si>
  <si>
    <t>Auxiliar De Almoxarife Com Encargos Complementares</t>
  </si>
  <si>
    <t>Árvore Ornamental Jacarandá-Paulista H=2,00M</t>
  </si>
  <si>
    <t>Árvore Ornamental Ipê-Roxo De 7 Folhas H=2,00M</t>
  </si>
  <si>
    <t>Banco Com Assento De Concreto Armado Liso Desempenado Com Pintura Verniz Acrílico  Armaçao Engastada Na Laje De Piso E Pilarete Bloco Concreto Revestido</t>
  </si>
  <si>
    <t>Taxa De Mobilização E Desmobilização De Equipamentos Para Execução De Estaca Escavada</t>
  </si>
  <si>
    <t>tx</t>
  </si>
  <si>
    <t>unmes</t>
  </si>
  <si>
    <t>Tapume Móvel Para Fechamento De Áreas</t>
  </si>
  <si>
    <t>XX,XX</t>
  </si>
</sst>
</file>

<file path=xl/styles.xml><?xml version="1.0" encoding="utf-8"?>
<styleSheet xmlns="http://schemas.openxmlformats.org/spreadsheetml/2006/main">
  <numFmts count="5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 &quot;* #,##0.00_);_(&quot;R$ &quot;* \(#,##0.00\);_(&quot;R$ &quot;* &quot;-&quot;??_);_(@_)"/>
    <numFmt numFmtId="165" formatCode="_(* #,##0.00_);_(* \(#,##0.00\);_(* &quot;-&quot;??_);_(@_)"/>
    <numFmt numFmtId="166" formatCode="_(&quot;R$ &quot;* #,##0.00_);_(&quot;R$ &quot;* \(#,##0.00\);_(&quot;R$ &quot;* \-??_);_(@_)"/>
    <numFmt numFmtId="167" formatCode="* #,##0.00\ ;* \(#,##0.00\);* \-#\ ;@\ "/>
    <numFmt numFmtId="168" formatCode="0.0000"/>
    <numFmt numFmtId="169" formatCode="_(* #,##0.00_);_(* \(#,##0.00\);_(* \-??_);_(@_)"/>
    <numFmt numFmtId="170" formatCode="00"/>
    <numFmt numFmtId="171" formatCode="_-* #,##0.00_-;\-* #,##0.00_-;_-* \-??_-;_-@_-"/>
    <numFmt numFmtId="172" formatCode="&quot;R$ &quot;#,##0.00"/>
    <numFmt numFmtId="173" formatCode="_-&quot;R$ &quot;* #,##0.00_-;&quot;-R$ &quot;* #,##0.00_-;_-&quot;R$ &quot;* \-??_-;_-@_-"/>
    <numFmt numFmtId="174" formatCode="00\-00\-00"/>
    <numFmt numFmtId="175" formatCode="&quot;Mês&quot;\ ##"/>
    <numFmt numFmtId="176" formatCode="_-* #,##0.0000_-;\-* #,##0.0000_-;_-* &quot;-&quot;??_-;_-@_-"/>
    <numFmt numFmtId="177" formatCode="&quot; R$ &quot;* #,##0.00\ &quot;/ m2&quot;"/>
    <numFmt numFmtId="178" formatCode="##,##0.00\ &quot;m2&quot;"/>
    <numFmt numFmtId="179" formatCode="&quot;R$&quot;\ #,##0.00"/>
    <numFmt numFmtId="180" formatCode="&quot;R$ &quot;#,##0.00\ &quot;/ m2&quot;"/>
    <numFmt numFmtId="181" formatCode="&quot; R$ &quot;#,##0.00\ &quot;/ m2&quot;"/>
    <numFmt numFmtId="182" formatCode="&quot;MÊS&quot;\ ##"/>
    <numFmt numFmtId="183" formatCode="_(&quot;R$ &quot;#,##0.00_);_(&quot;R$ &quot;\(#,##0.00\);_(&quot;R$ &quot;\ \-??_);_(@_)"/>
    <numFmt numFmtId="184" formatCode="[$-416]dddd\,\ d&quot; de &quot;mmmm&quot; de &quot;yyyy"/>
    <numFmt numFmtId="185" formatCode="00.00.00"/>
    <numFmt numFmtId="186" formatCode="#,##0.00\ &quot;m2&quot;"/>
    <numFmt numFmtId="187" formatCode="&quot;R$ &quot;* #,##0.00\ &quot;/&quot;\ &quot;m2&quot;"/>
    <numFmt numFmtId="188" formatCode="0.000"/>
    <numFmt numFmtId="189" formatCode="0.00_)"/>
    <numFmt numFmtId="190" formatCode="_-#,##0.00_-;\-#,##0.00_-;_-&quot;-&quot;??_-;_-@_-"/>
    <numFmt numFmtId="191" formatCode="@&quot; (R$)&quot;"/>
    <numFmt numFmtId="192" formatCode="_-#,##0.00_-;\-#,##0.00_-;_-\ &quot;-&quot;??_-;_-@_-"/>
    <numFmt numFmtId="193" formatCode="&quot;( &quot;0.00%&quot; )&quot;"/>
    <numFmt numFmtId="194" formatCode="dd\ &quot;de&quot;\ mmmm\ &quot;de&quot;\ yyyy"/>
    <numFmt numFmtId="195" formatCode="General;General;"/>
    <numFmt numFmtId="196" formatCode="[$-F800]dddd\,\ mmmm\ dd\,\ yyyy"/>
    <numFmt numFmtId="197" formatCode="#,##0.0000"/>
    <numFmt numFmtId="198" formatCode="_(* #,##0.000_);_(* \(#,##0.000\);_(* \-??_);_(@_)"/>
    <numFmt numFmtId="199" formatCode="0,000.00&quot; m2&quot;"/>
    <numFmt numFmtId="200" formatCode="_(* #,##0.0_);_(* \(#,##0.0\);_(* &quot;-&quot;??_);_(@_)"/>
    <numFmt numFmtId="201" formatCode="&quot; R$ &quot;* #,##0.00\ ;&quot; R$ &quot;* \(#,##0.00\);&quot; R$ &quot;* \-#\ ;@\ "/>
    <numFmt numFmtId="202" formatCode="&quot;R$&quot;\ #,##0.00;[Red]&quot;R$&quot;\ #,##0.00"/>
    <numFmt numFmtId="203" formatCode="0_ ;\-0\ "/>
    <numFmt numFmtId="204" formatCode="0.00000"/>
    <numFmt numFmtId="205" formatCode="_(&quot;R$ &quot;* #,##0.000_);_(&quot;R$ &quot;* \(#,##0.000\);_(&quot;R$ &quot;* \-??_);_(@_)"/>
    <numFmt numFmtId="206" formatCode="_(&quot;R$ &quot;* #,##0.0000_);_(&quot;R$ &quot;* \(#,##0.0000\);_(&quot;R$ &quot;* \-??_);_(@_)"/>
    <numFmt numFmtId="207" formatCode="_(&quot;R$ &quot;* #,##0.00000_);_(&quot;R$ &quot;* \(#,##0.00000\);_(&quot;R$ &quot;* \-??_);_(@_)"/>
    <numFmt numFmtId="208" formatCode="_(&quot;R$ &quot;* #,##0.0_);_(&quot;R$ &quot;* \(#,##0.0\);_(&quot;R$ &quot;* \-??_);_(@_)"/>
  </numFmts>
  <fonts count="75">
    <font>
      <sz val="10"/>
      <name val="Arial"/>
      <family val="2"/>
    </font>
    <font>
      <sz val="10"/>
      <name val="Times New Roman"/>
      <family val="1"/>
    </font>
    <font>
      <b/>
      <sz val="24"/>
      <name val="Arial"/>
      <family val="2"/>
    </font>
    <font>
      <b/>
      <sz val="10"/>
      <name val="Arial"/>
      <family val="2"/>
    </font>
    <font>
      <b/>
      <sz val="12"/>
      <name val="Arial"/>
      <family val="2"/>
    </font>
    <font>
      <b/>
      <sz val="14"/>
      <name val="Arial"/>
      <family val="2"/>
    </font>
    <font>
      <sz val="12"/>
      <name val="Arial"/>
      <family val="2"/>
    </font>
    <font>
      <b/>
      <sz val="11.5"/>
      <name val="Arial"/>
      <family val="2"/>
    </font>
    <font>
      <sz val="14"/>
      <name val="Arial"/>
      <family val="2"/>
    </font>
    <font>
      <b/>
      <sz val="11"/>
      <name val="Arial"/>
      <family val="2"/>
    </font>
    <font>
      <sz val="11"/>
      <name val="Arial"/>
      <family val="2"/>
    </font>
    <font>
      <sz val="10"/>
      <color indexed="62"/>
      <name val="Arial"/>
      <family val="2"/>
    </font>
    <font>
      <sz val="10"/>
      <color indexed="8"/>
      <name val="Arial"/>
      <family val="2"/>
    </font>
    <font>
      <sz val="9"/>
      <name val="Arial"/>
      <family val="2"/>
    </font>
    <font>
      <sz val="7"/>
      <name val="Arial"/>
      <family val="2"/>
    </font>
    <font>
      <sz val="8"/>
      <name val="Arial"/>
      <family val="2"/>
    </font>
    <font>
      <b/>
      <sz val="9"/>
      <name val="Arial"/>
      <family val="2"/>
    </font>
    <font>
      <sz val="15"/>
      <name val="Arial"/>
      <family val="2"/>
    </font>
    <font>
      <b/>
      <sz val="10"/>
      <color indexed="62"/>
      <name val="Arial"/>
      <family val="2"/>
    </font>
    <font>
      <sz val="11"/>
      <color indexed="8"/>
      <name val="Calibri"/>
      <family val="2"/>
    </font>
    <font>
      <sz val="9"/>
      <name val="Segoe UI"/>
      <family val="2"/>
    </font>
    <font>
      <b/>
      <sz val="9"/>
      <name val="Segoe U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54"/>
      <name val="Calibri"/>
      <family val="2"/>
    </font>
    <font>
      <u val="single"/>
      <sz val="10"/>
      <color indexed="12"/>
      <name val="Arial"/>
      <family val="2"/>
    </font>
    <font>
      <u val="single"/>
      <sz val="10"/>
      <color indexed="20"/>
      <name val="Arial"/>
      <family val="2"/>
    </font>
    <font>
      <sz val="11"/>
      <color indexed="20"/>
      <name val="Calibri"/>
      <family val="2"/>
    </font>
    <font>
      <sz val="10"/>
      <color indexed="8"/>
      <name val="Times New Roman"/>
      <family val="1"/>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4"/>
      <color indexed="9"/>
      <name val="Arial"/>
      <family val="2"/>
    </font>
    <font>
      <b/>
      <sz val="10"/>
      <color indexed="9"/>
      <name val="Arial"/>
      <family val="2"/>
    </font>
    <font>
      <b/>
      <sz val="18"/>
      <color indexed="9"/>
      <name val="Arial"/>
      <family val="2"/>
    </font>
    <font>
      <sz val="10"/>
      <color indexed="9"/>
      <name val="Arial"/>
      <family val="2"/>
    </font>
    <font>
      <b/>
      <sz val="16"/>
      <color indexed="9"/>
      <name val="Arial"/>
      <family val="2"/>
    </font>
    <font>
      <b/>
      <sz val="15"/>
      <color indexed="9"/>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0"/>
      <color rgb="FF000000"/>
      <name val="Times New Roman"/>
      <family val="1"/>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4"/>
      <color theme="0"/>
      <name val="Arial"/>
      <family val="2"/>
    </font>
    <font>
      <b/>
      <sz val="10"/>
      <color theme="0"/>
      <name val="Arial"/>
      <family val="2"/>
    </font>
    <font>
      <b/>
      <sz val="18"/>
      <color theme="0"/>
      <name val="Arial"/>
      <family val="2"/>
    </font>
    <font>
      <sz val="10"/>
      <color theme="0"/>
      <name val="Arial"/>
      <family val="2"/>
    </font>
    <font>
      <b/>
      <sz val="16"/>
      <color theme="0"/>
      <name val="Arial"/>
      <family val="2"/>
    </font>
    <font>
      <b/>
      <sz val="15"/>
      <color theme="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4999699890613556"/>
        <bgColor indexed="64"/>
      </patternFill>
    </fill>
    <fill>
      <patternFill patternType="solid">
        <fgColor theme="3" tint="-0.4999699890613556"/>
        <bgColor indexed="64"/>
      </patternFill>
    </fill>
    <fill>
      <patternFill patternType="solid">
        <fgColor theme="3" tint="0.7999799847602844"/>
        <bgColor indexed="64"/>
      </patternFill>
    </fill>
    <fill>
      <patternFill patternType="solid">
        <fgColor rgb="FFC5D9F1"/>
        <bgColor indexed="64"/>
      </patternFill>
    </fill>
    <fill>
      <patternFill patternType="solid">
        <fgColor rgb="FFC5D9F1"/>
        <bgColor indexed="64"/>
      </patternFill>
    </fill>
    <fill>
      <patternFill patternType="solid">
        <fgColor theme="0"/>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color indexed="8"/>
      </left>
      <right>
        <color indexed="63"/>
      </right>
      <top>
        <color indexed="63"/>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color indexed="8"/>
      </right>
      <top style="medium">
        <color indexed="8"/>
      </top>
      <bottom>
        <color indexed="63"/>
      </bottom>
    </border>
    <border>
      <left style="thin">
        <color indexed="8"/>
      </left>
      <right style="thin">
        <color indexed="8"/>
      </right>
      <top style="hair"/>
      <bottom style="hair"/>
    </border>
    <border>
      <left style="medium"/>
      <right style="thin">
        <color indexed="8"/>
      </right>
      <top style="thin"/>
      <bottom style="hair"/>
    </border>
    <border>
      <left style="thin">
        <color indexed="8"/>
      </left>
      <right style="thin">
        <color indexed="8"/>
      </right>
      <top style="thin"/>
      <bottom style="hair"/>
    </border>
    <border>
      <left style="medium"/>
      <right style="thin">
        <color indexed="8"/>
      </right>
      <top style="hair"/>
      <bottom style="hair"/>
    </border>
    <border>
      <left style="thin">
        <color indexed="8"/>
      </left>
      <right style="thin">
        <color indexed="8"/>
      </right>
      <top style="hair"/>
      <bottom style="thin"/>
    </border>
    <border>
      <left style="medium"/>
      <right style="thin"/>
      <top style="hair"/>
      <bottom style="hair"/>
    </border>
    <border>
      <left style="thin"/>
      <right style="thin"/>
      <top style="hair"/>
      <bottom style="hair"/>
    </border>
    <border>
      <left style="thin"/>
      <right style="thin"/>
      <top style="hair"/>
      <bottom style="thin"/>
    </border>
    <border>
      <left style="thin">
        <color indexed="8"/>
      </left>
      <right style="thin">
        <color indexed="8"/>
      </right>
      <top style="hair"/>
      <bottom style="medium"/>
    </border>
    <border>
      <left style="medium"/>
      <right style="thin">
        <color indexed="8"/>
      </right>
      <top style="thin"/>
      <bottom style="hair">
        <color indexed="8"/>
      </bottom>
    </border>
    <border>
      <left style="thin">
        <color indexed="8"/>
      </left>
      <right style="thin">
        <color indexed="8"/>
      </right>
      <top style="thin"/>
      <bottom style="hair">
        <color indexed="8"/>
      </bottom>
    </border>
    <border>
      <left style="medium"/>
      <right style="thin">
        <color indexed="8"/>
      </right>
      <top style="hair">
        <color indexed="8"/>
      </top>
      <bottom style="hair"/>
    </border>
    <border>
      <left style="thin">
        <color indexed="8"/>
      </left>
      <right style="thin">
        <color indexed="8"/>
      </right>
      <top style="hair">
        <color indexed="8"/>
      </top>
      <bottom style="hair"/>
    </border>
    <border>
      <left style="medium"/>
      <right style="thin"/>
      <top style="thin"/>
      <bottom style="hair"/>
    </border>
    <border>
      <left style="thin">
        <color indexed="8"/>
      </left>
      <right style="thin">
        <color indexed="8"/>
      </right>
      <top style="hair"/>
      <bottom>
        <color indexed="63"/>
      </bottom>
    </border>
    <border>
      <left style="thin">
        <color indexed="8"/>
      </left>
      <right style="thin">
        <color indexed="8"/>
      </right>
      <top>
        <color indexed="63"/>
      </top>
      <bottom style="hair"/>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border>
    <border>
      <left>
        <color indexed="63"/>
      </left>
      <right style="medium">
        <color indexed="8"/>
      </right>
      <top>
        <color indexed="63"/>
      </top>
      <bottom>
        <color indexed="63"/>
      </bottom>
    </border>
    <border>
      <left style="medium"/>
      <right style="thin">
        <color indexed="8"/>
      </right>
      <top>
        <color indexed="63"/>
      </top>
      <bottom>
        <color indexed="63"/>
      </bottom>
    </border>
    <border>
      <left style="medium"/>
      <right style="thin">
        <color indexed="8"/>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color indexed="8"/>
      </left>
      <right style="medium">
        <color indexed="8"/>
      </right>
      <top style="medium">
        <color indexed="8"/>
      </top>
      <bottom>
        <color indexed="63"/>
      </bottom>
    </border>
    <border>
      <left>
        <color indexed="63"/>
      </left>
      <right>
        <color indexed="63"/>
      </right>
      <top style="medium"/>
      <bottom style="medium"/>
    </border>
    <border>
      <left style="thin">
        <color indexed="8"/>
      </left>
      <right style="thin">
        <color indexed="8"/>
      </right>
      <top>
        <color indexed="63"/>
      </top>
      <bottom style="thin"/>
    </border>
    <border>
      <left style="thin"/>
      <right style="thin"/>
      <top style="thin"/>
      <bottom style="thin"/>
    </border>
    <border>
      <left>
        <color indexed="63"/>
      </left>
      <right>
        <color indexed="63"/>
      </right>
      <top style="hair">
        <color indexed="8"/>
      </top>
      <bottom>
        <color indexed="63"/>
      </bottom>
    </border>
    <border>
      <left>
        <color indexed="63"/>
      </left>
      <right>
        <color indexed="63"/>
      </right>
      <top>
        <color indexed="63"/>
      </top>
      <bottom style="hair">
        <color indexed="8"/>
      </bottom>
    </border>
    <border>
      <left style="thin">
        <color indexed="8"/>
      </left>
      <right style="thin">
        <color indexed="8"/>
      </right>
      <top style="thin"/>
      <bottom style="thin"/>
    </border>
    <border>
      <left>
        <color indexed="63"/>
      </left>
      <right style="medium">
        <color indexed="8"/>
      </right>
      <top style="medium"/>
      <bottom style="mediu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color indexed="8"/>
      </top>
      <bottom>
        <color indexed="63"/>
      </bottom>
    </border>
    <border>
      <left style="medium">
        <color indexed="8"/>
      </left>
      <right>
        <color indexed="63"/>
      </right>
      <top style="medium">
        <color indexed="8"/>
      </top>
      <bottom>
        <color indexed="63"/>
      </bottom>
    </border>
    <border>
      <left style="medium">
        <color indexed="8"/>
      </left>
      <right style="medium"/>
      <top style="medium">
        <color indexed="8"/>
      </top>
      <bottom>
        <color indexed="63"/>
      </bottom>
    </border>
    <border>
      <left style="medium"/>
      <right>
        <color indexed="63"/>
      </right>
      <top style="medium"/>
      <bottom style="medium"/>
    </border>
    <border>
      <left style="medium">
        <color indexed="8"/>
      </left>
      <right>
        <color indexed="63"/>
      </right>
      <top style="medium"/>
      <bottom style="medium"/>
    </border>
    <border>
      <left>
        <color indexed="63"/>
      </left>
      <right style="medium"/>
      <top style="medium"/>
      <bottom style="medium"/>
    </border>
    <border>
      <left style="medium">
        <color indexed="8"/>
      </left>
      <right style="thin">
        <color indexed="8"/>
      </right>
      <top>
        <color indexed="63"/>
      </top>
      <bottom style="thin"/>
    </border>
    <border>
      <left style="thin">
        <color indexed="8"/>
      </left>
      <right style="medium"/>
      <top>
        <color indexed="63"/>
      </top>
      <bottom style="thin"/>
    </border>
    <border>
      <left style="thin"/>
      <right style="medium"/>
      <top style="hair"/>
      <bottom style="hair"/>
    </border>
    <border>
      <left style="thin">
        <color indexed="8"/>
      </left>
      <right style="medium"/>
      <top style="hair"/>
      <bottom style="hair"/>
    </border>
    <border>
      <left style="thin"/>
      <right style="medium"/>
      <top style="hair"/>
      <bottom style="thin"/>
    </border>
    <border>
      <left style="medium"/>
      <right style="thin"/>
      <top style="thin"/>
      <bottom style="thin"/>
    </border>
    <border>
      <left style="thin"/>
      <right style="medium"/>
      <top style="thin"/>
      <bottom style="thin"/>
    </border>
    <border>
      <left style="thin">
        <color indexed="8"/>
      </left>
      <right style="medium"/>
      <top style="hair"/>
      <bottom style="thin"/>
    </border>
    <border>
      <left style="thin">
        <color indexed="8"/>
      </left>
      <right style="medium"/>
      <top style="hair"/>
      <bottom>
        <color indexed="63"/>
      </bottom>
    </border>
    <border>
      <left style="thin">
        <color indexed="8"/>
      </left>
      <right style="medium"/>
      <top style="hair">
        <color indexed="8"/>
      </top>
      <bottom style="thin"/>
    </border>
    <border>
      <left style="thin">
        <color indexed="8"/>
      </left>
      <right style="medium"/>
      <top style="hair">
        <color indexed="8"/>
      </top>
      <bottom style="hair"/>
    </border>
    <border>
      <left style="thin">
        <color indexed="8"/>
      </left>
      <right style="medium"/>
      <top style="hair">
        <color indexed="8"/>
      </top>
      <bottom style="hair">
        <color indexed="8"/>
      </bottom>
    </border>
    <border>
      <left style="thin">
        <color indexed="8"/>
      </left>
      <right style="medium"/>
      <top>
        <color indexed="63"/>
      </top>
      <bottom style="hair"/>
    </border>
    <border>
      <left style="thin">
        <color indexed="8"/>
      </left>
      <right style="medium"/>
      <top style="thin"/>
      <bottom style="hair">
        <color indexed="8"/>
      </bottom>
    </border>
    <border>
      <left style="thin">
        <color indexed="8"/>
      </left>
      <right style="medium"/>
      <top style="thin"/>
      <bottom style="hair"/>
    </border>
    <border>
      <left style="medium"/>
      <right style="thin">
        <color indexed="8"/>
      </right>
      <top style="thin"/>
      <bottom style="thin"/>
    </border>
    <border>
      <left style="medium">
        <color indexed="8"/>
      </left>
      <right style="thin">
        <color indexed="8"/>
      </right>
      <top style="thin"/>
      <bottom style="thin"/>
    </border>
    <border>
      <left style="thin">
        <color indexed="8"/>
      </left>
      <right style="medium"/>
      <top style="thin"/>
      <bottom style="thin"/>
    </border>
    <border>
      <left style="thin">
        <color indexed="8"/>
      </left>
      <right style="medium"/>
      <top style="hair"/>
      <bottom style="medium"/>
    </border>
    <border>
      <left style="medium">
        <color indexed="8"/>
      </left>
      <right style="medium">
        <color indexed="8"/>
      </right>
      <top style="medium"/>
      <bottom style="medium"/>
    </border>
    <border>
      <left style="medium">
        <color indexed="8"/>
      </left>
      <right style="thin">
        <color indexed="8"/>
      </right>
      <top style="medium">
        <color indexed="8"/>
      </top>
      <bottom style="hair"/>
    </border>
    <border>
      <left style="thin">
        <color indexed="8"/>
      </left>
      <right style="thin">
        <color indexed="8"/>
      </right>
      <top style="medium">
        <color indexed="8"/>
      </top>
      <bottom style="hair"/>
    </border>
    <border>
      <left style="thin">
        <color indexed="8"/>
      </left>
      <right style="medium">
        <color indexed="8"/>
      </right>
      <top style="medium">
        <color indexed="8"/>
      </top>
      <bottom style="hair"/>
    </border>
    <border>
      <left>
        <color indexed="63"/>
      </left>
      <right>
        <color indexed="63"/>
      </right>
      <top style="medium"/>
      <bottom style="medium">
        <color indexed="8"/>
      </bottom>
    </border>
    <border>
      <left style="medium"/>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medium">
        <color indexed="8"/>
      </right>
      <top style="medium">
        <color indexed="8"/>
      </top>
      <bottom style="hair">
        <color indexed="8"/>
      </bottom>
    </border>
    <border>
      <left style="medium">
        <color indexed="8"/>
      </left>
      <right style="medium">
        <color indexed="8"/>
      </right>
      <top style="hair">
        <color indexed="8"/>
      </top>
      <bottom style="medium">
        <color indexed="8"/>
      </bottom>
    </border>
    <border>
      <left style="medium">
        <color indexed="8"/>
      </left>
      <right style="medium">
        <color indexed="8"/>
      </right>
      <top>
        <color indexed="63"/>
      </top>
      <bottom style="medium">
        <color indexed="8"/>
      </bottom>
    </border>
    <border>
      <left>
        <color indexed="63"/>
      </left>
      <right>
        <color indexed="63"/>
      </right>
      <top style="medium">
        <color indexed="8"/>
      </top>
      <bottom style="medium">
        <color indexed="8"/>
      </bottom>
    </border>
    <border>
      <left style="medium"/>
      <right style="medium">
        <color indexed="8"/>
      </right>
      <top>
        <color indexed="63"/>
      </top>
      <bottom style="medium"/>
    </border>
    <border>
      <left style="medium">
        <color indexed="8"/>
      </left>
      <right style="medium">
        <color indexed="8"/>
      </right>
      <top>
        <color indexed="63"/>
      </top>
      <bottom style="medium"/>
    </border>
    <border>
      <left style="medium">
        <color indexed="8"/>
      </left>
      <right style="thin">
        <color indexed="8"/>
      </right>
      <top style="hair"/>
      <bottom style="medium"/>
    </border>
    <border>
      <left style="thin">
        <color indexed="8"/>
      </left>
      <right style="medium">
        <color indexed="8"/>
      </right>
      <top style="hair"/>
      <bottom style="medium"/>
    </border>
    <border>
      <left style="medium"/>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style="medium"/>
      <right>
        <color indexed="63"/>
      </right>
      <top style="medium">
        <color indexed="8"/>
      </top>
      <bottom style="medium"/>
    </border>
    <border>
      <left>
        <color indexed="63"/>
      </left>
      <right style="medium">
        <color indexed="8"/>
      </right>
      <top style="medium">
        <color indexed="8"/>
      </top>
      <bottom style="medium"/>
    </border>
    <border>
      <left style="medium">
        <color indexed="8"/>
      </left>
      <right>
        <color indexed="63"/>
      </right>
      <top style="medium">
        <color indexed="8"/>
      </top>
      <bottom style="medium"/>
    </border>
    <border>
      <left style="medium">
        <color indexed="8"/>
      </left>
      <right style="medium">
        <color indexed="8"/>
      </right>
      <top style="medium">
        <color indexed="8"/>
      </top>
      <bottom style="medium"/>
    </border>
  </borders>
  <cellStyleXfs count="1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0" fillId="0" borderId="0" applyNumberFormat="0">
      <alignment/>
      <protection/>
    </xf>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4" fillId="29" borderId="1" applyNumberFormat="0" applyAlignment="0" applyProtection="0"/>
    <xf numFmtId="0" fontId="0" fillId="0" borderId="0">
      <alignment/>
      <protection/>
    </xf>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166" fontId="0" fillId="0" borderId="0">
      <alignment/>
      <protection/>
    </xf>
    <xf numFmtId="42" fontId="0" fillId="0" borderId="0" applyFill="0" applyBorder="0" applyAlignment="0" applyProtection="0"/>
    <xf numFmtId="166" fontId="0" fillId="0" borderId="0">
      <alignment/>
      <protection/>
    </xf>
    <xf numFmtId="166" fontId="0" fillId="0" borderId="0">
      <alignment/>
      <protection/>
    </xf>
    <xf numFmtId="201" fontId="0" fillId="0" borderId="0">
      <alignment/>
      <protection/>
    </xf>
    <xf numFmtId="166" fontId="0" fillId="0" borderId="0">
      <alignment/>
      <protection/>
    </xf>
    <xf numFmtId="164" fontId="19" fillId="0" borderId="0" applyFont="0" applyFill="0" applyBorder="0" applyAlignment="0" applyProtection="0"/>
    <xf numFmtId="164" fontId="19" fillId="0" borderId="0" applyFont="0" applyFill="0" applyBorder="0" applyAlignment="0" applyProtection="0"/>
    <xf numFmtId="166" fontId="0" fillId="0" borderId="0">
      <alignment/>
      <protection/>
    </xf>
    <xf numFmtId="201" fontId="0" fillId="0" borderId="0">
      <alignment/>
      <protection/>
    </xf>
    <xf numFmtId="166" fontId="0" fillId="0" borderId="0">
      <alignment/>
      <protection/>
    </xf>
    <xf numFmtId="44" fontId="58" fillId="0" borderId="0" applyFont="0" applyFill="0" applyBorder="0" applyAlignment="0" applyProtection="0"/>
    <xf numFmtId="0" fontId="59" fillId="31" borderId="0" applyNumberFormat="0" applyBorder="0" applyAlignment="0" applyProtection="0"/>
    <xf numFmtId="0" fontId="19" fillId="0" borderId="0">
      <alignment/>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58" fillId="0" borderId="0">
      <alignment/>
      <protection/>
    </xf>
    <xf numFmtId="0" fontId="12" fillId="0" borderId="0">
      <alignment/>
      <protection/>
    </xf>
    <xf numFmtId="0" fontId="12" fillId="0" borderId="0">
      <alignment/>
      <protection/>
    </xf>
    <xf numFmtId="0" fontId="19" fillId="0" borderId="0">
      <alignment/>
      <protection/>
    </xf>
    <xf numFmtId="0" fontId="19" fillId="0" borderId="0">
      <alignment/>
      <protection/>
    </xf>
    <xf numFmtId="0" fontId="12" fillId="0" borderId="0">
      <alignment/>
      <protection/>
    </xf>
    <xf numFmtId="0" fontId="19"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48" fillId="0" borderId="0">
      <alignment/>
      <protection/>
    </xf>
    <xf numFmtId="0" fontId="12" fillId="0" borderId="0">
      <alignment/>
      <protection/>
    </xf>
    <xf numFmtId="0" fontId="12" fillId="0" borderId="0">
      <alignment/>
      <protection/>
    </xf>
    <xf numFmtId="0" fontId="19" fillId="0" borderId="0">
      <alignment/>
      <protection/>
    </xf>
    <xf numFmtId="0" fontId="58" fillId="0" borderId="0">
      <alignment/>
      <protection/>
    </xf>
    <xf numFmtId="0" fontId="58" fillId="0" borderId="0">
      <alignment/>
      <protection/>
    </xf>
    <xf numFmtId="0" fontId="19" fillId="0" borderId="0">
      <alignment/>
      <protection/>
    </xf>
    <xf numFmtId="0" fontId="0" fillId="0" borderId="0">
      <alignment/>
      <protection/>
    </xf>
    <xf numFmtId="0" fontId="0" fillId="32" borderId="4" applyNumberFormat="0" applyFont="0" applyAlignment="0" applyProtection="0"/>
    <xf numFmtId="0" fontId="0" fillId="0" borderId="0">
      <alignment/>
      <protection/>
    </xf>
    <xf numFmtId="9" fontId="0" fillId="0" borderId="0">
      <alignment/>
      <protection/>
    </xf>
    <xf numFmtId="9" fontId="0" fillId="0" borderId="0">
      <alignment/>
      <protection/>
    </xf>
    <xf numFmtId="9" fontId="0" fillId="0" borderId="0">
      <alignment/>
      <protection/>
    </xf>
    <xf numFmtId="9" fontId="19" fillId="0" borderId="0" applyFont="0" applyFill="0" applyBorder="0" applyAlignment="0" applyProtection="0"/>
    <xf numFmtId="9" fontId="0" fillId="0" borderId="0">
      <alignment/>
      <protection/>
    </xf>
    <xf numFmtId="0" fontId="60" fillId="21" borderId="5" applyNumberFormat="0" applyAlignment="0" applyProtection="0"/>
    <xf numFmtId="41" fontId="0" fillId="0" borderId="0" applyFill="0" applyBorder="0" applyAlignment="0" applyProtection="0"/>
    <xf numFmtId="167" fontId="0" fillId="0" borderId="0">
      <alignment/>
      <protection/>
    </xf>
    <xf numFmtId="169" fontId="0" fillId="0" borderId="0">
      <alignment/>
      <protection/>
    </xf>
    <xf numFmtId="169" fontId="0" fillId="0" borderId="0">
      <alignment/>
      <protection/>
    </xf>
    <xf numFmtId="167" fontId="0" fillId="0" borderId="0">
      <alignment/>
      <protection/>
    </xf>
    <xf numFmtId="165" fontId="19" fillId="0" borderId="0" applyFont="0" applyFill="0" applyBorder="0" applyAlignment="0" applyProtection="0"/>
    <xf numFmtId="169" fontId="0" fillId="0" borderId="0">
      <alignment/>
      <protection/>
    </xf>
    <xf numFmtId="0" fontId="1" fillId="0" borderId="6">
      <alignment horizontal="left" wrapText="1"/>
      <protection/>
    </xf>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6" fillId="0" borderId="0" applyNumberFormat="0" applyFill="0" applyBorder="0" applyAlignment="0" applyProtection="0"/>
    <xf numFmtId="0" fontId="67" fillId="0" borderId="10" applyNumberFormat="0" applyFill="0" applyAlignment="0" applyProtection="0"/>
    <xf numFmtId="169" fontId="0" fillId="0" borderId="0">
      <alignment/>
      <protection/>
    </xf>
    <xf numFmtId="43"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43" fontId="58" fillId="0" borderId="0" applyFont="0" applyFill="0" applyBorder="0" applyAlignment="0" applyProtection="0"/>
    <xf numFmtId="169" fontId="0" fillId="0" borderId="0">
      <alignment/>
      <protection/>
    </xf>
  </cellStyleXfs>
  <cellXfs count="393">
    <xf numFmtId="0" fontId="0" fillId="0" borderId="0" xfId="0" applyAlignment="1">
      <alignment/>
    </xf>
    <xf numFmtId="0" fontId="0" fillId="0" borderId="0" xfId="45" applyFont="1" applyFill="1" applyBorder="1" applyAlignment="1" applyProtection="1">
      <alignment horizontal="left" vertical="center"/>
      <protection locked="0"/>
    </xf>
    <xf numFmtId="0" fontId="0" fillId="33" borderId="0" xfId="45" applyFont="1" applyFill="1" applyBorder="1" applyAlignment="1" applyProtection="1">
      <alignment vertical="center"/>
      <protection locked="0"/>
    </xf>
    <xf numFmtId="49" fontId="68" fillId="34" borderId="11" xfId="45" applyNumberFormat="1" applyFont="1" applyFill="1" applyBorder="1" applyAlignment="1" applyProtection="1">
      <alignment horizontal="center" vertical="center"/>
      <protection hidden="1"/>
    </xf>
    <xf numFmtId="0" fontId="0" fillId="0" borderId="0" xfId="45" applyFont="1" applyFill="1" applyBorder="1" applyAlignment="1" applyProtection="1">
      <alignment vertical="center"/>
      <protection locked="0"/>
    </xf>
    <xf numFmtId="0" fontId="6" fillId="0" borderId="0" xfId="45" applyFont="1" applyFill="1" applyBorder="1" applyAlignment="1" applyProtection="1">
      <alignment vertical="center"/>
      <protection locked="0"/>
    </xf>
    <xf numFmtId="0" fontId="5" fillId="0" borderId="0" xfId="45" applyFont="1" applyFill="1" applyBorder="1" applyAlignment="1" applyProtection="1">
      <alignment vertical="center"/>
      <protection locked="0"/>
    </xf>
    <xf numFmtId="0" fontId="10" fillId="0" borderId="0" xfId="45" applyFont="1" applyFill="1" applyBorder="1" applyAlignment="1" applyProtection="1">
      <alignment horizontal="center" vertical="center"/>
      <protection locked="0"/>
    </xf>
    <xf numFmtId="0" fontId="69" fillId="0" borderId="0" xfId="45" applyFont="1" applyFill="1" applyBorder="1" applyAlignment="1" applyProtection="1">
      <alignment vertical="center"/>
      <protection locked="0"/>
    </xf>
    <xf numFmtId="49" fontId="0" fillId="0" borderId="12" xfId="45" applyNumberFormat="1" applyFont="1" applyFill="1" applyBorder="1" applyAlignment="1" applyProtection="1">
      <alignment horizontal="center" vertical="center"/>
      <protection hidden="1"/>
    </xf>
    <xf numFmtId="49" fontId="0" fillId="0" borderId="13" xfId="45" applyNumberFormat="1" applyFont="1" applyFill="1" applyBorder="1" applyAlignment="1" applyProtection="1">
      <alignment horizontal="center" vertical="center"/>
      <protection hidden="1"/>
    </xf>
    <xf numFmtId="166" fontId="0" fillId="0" borderId="14" xfId="49" applyFont="1" applyFill="1" applyBorder="1" applyAlignment="1" applyProtection="1">
      <alignment horizontal="right" vertical="center"/>
      <protection hidden="1"/>
    </xf>
    <xf numFmtId="49" fontId="0" fillId="0" borderId="15" xfId="45" applyNumberFormat="1" applyFont="1" applyFill="1" applyBorder="1" applyAlignment="1" applyProtection="1">
      <alignment horizontal="center" vertical="center"/>
      <protection hidden="1"/>
    </xf>
    <xf numFmtId="166" fontId="0" fillId="0" borderId="12" xfId="49" applyFont="1" applyFill="1" applyBorder="1" applyAlignment="1" applyProtection="1">
      <alignment horizontal="right" vertical="center"/>
      <protection hidden="1"/>
    </xf>
    <xf numFmtId="49" fontId="0" fillId="0" borderId="12" xfId="45" applyNumberFormat="1" applyFont="1" applyFill="1" applyBorder="1" applyAlignment="1" applyProtection="1">
      <alignment horizontal="center" vertical="center"/>
      <protection hidden="1"/>
    </xf>
    <xf numFmtId="49" fontId="0" fillId="0" borderId="16" xfId="45" applyNumberFormat="1" applyFont="1" applyFill="1" applyBorder="1" applyAlignment="1" applyProtection="1">
      <alignment horizontal="center" vertical="center"/>
      <protection hidden="1"/>
    </xf>
    <xf numFmtId="166" fontId="0" fillId="0" borderId="16" xfId="49" applyFont="1" applyFill="1" applyBorder="1" applyAlignment="1" applyProtection="1">
      <alignment horizontal="right" vertical="center"/>
      <protection hidden="1"/>
    </xf>
    <xf numFmtId="49" fontId="0" fillId="0" borderId="17" xfId="0" applyNumberFormat="1" applyFont="1" applyFill="1" applyBorder="1" applyAlignment="1" applyProtection="1">
      <alignment horizontal="center" vertical="center"/>
      <protection hidden="1"/>
    </xf>
    <xf numFmtId="0" fontId="0" fillId="0" borderId="18" xfId="45" applyNumberFormat="1" applyFont="1" applyFill="1" applyBorder="1" applyAlignment="1" applyProtection="1">
      <alignment horizontal="center" vertical="center"/>
      <protection hidden="1"/>
    </xf>
    <xf numFmtId="166" fontId="0" fillId="0" borderId="18" xfId="49" applyFont="1" applyFill="1" applyBorder="1" applyAlignment="1" applyProtection="1">
      <alignment horizontal="right" vertical="center"/>
      <protection hidden="1"/>
    </xf>
    <xf numFmtId="49" fontId="0" fillId="0" borderId="18" xfId="45" applyNumberFormat="1" applyFont="1" applyFill="1" applyBorder="1" applyAlignment="1" applyProtection="1">
      <alignment horizontal="center" vertical="center"/>
      <protection hidden="1"/>
    </xf>
    <xf numFmtId="1" fontId="0" fillId="0" borderId="18" xfId="45" applyNumberFormat="1" applyFont="1" applyFill="1" applyBorder="1" applyAlignment="1" applyProtection="1">
      <alignment horizontal="center" vertical="center"/>
      <protection hidden="1"/>
    </xf>
    <xf numFmtId="1" fontId="0" fillId="0" borderId="19" xfId="45" applyNumberFormat="1" applyFont="1" applyFill="1" applyBorder="1" applyAlignment="1" applyProtection="1">
      <alignment horizontal="center" vertical="center"/>
      <protection hidden="1"/>
    </xf>
    <xf numFmtId="166" fontId="0" fillId="0" borderId="19" xfId="49" applyFont="1" applyFill="1" applyBorder="1" applyAlignment="1" applyProtection="1">
      <alignment horizontal="right" vertical="center"/>
      <protection hidden="1"/>
    </xf>
    <xf numFmtId="166" fontId="0" fillId="0" borderId="20" xfId="49" applyFont="1" applyFill="1" applyBorder="1" applyAlignment="1" applyProtection="1">
      <alignment horizontal="right" vertical="center"/>
      <protection hidden="1"/>
    </xf>
    <xf numFmtId="49" fontId="0" fillId="0" borderId="21" xfId="45" applyNumberFormat="1" applyFont="1" applyFill="1" applyBorder="1" applyAlignment="1" applyProtection="1">
      <alignment horizontal="center" vertical="center"/>
      <protection hidden="1"/>
    </xf>
    <xf numFmtId="49" fontId="0" fillId="0" borderId="22" xfId="45" applyNumberFormat="1" applyFont="1" applyFill="1" applyBorder="1" applyAlignment="1" applyProtection="1">
      <alignment horizontal="center" vertical="center"/>
      <protection hidden="1"/>
    </xf>
    <xf numFmtId="166" fontId="0" fillId="0" borderId="22" xfId="49" applyFont="1" applyFill="1" applyBorder="1" applyAlignment="1" applyProtection="1">
      <alignment horizontal="right" vertical="center"/>
      <protection hidden="1"/>
    </xf>
    <xf numFmtId="49" fontId="0" fillId="0" borderId="23" xfId="45" applyNumberFormat="1" applyFont="1" applyFill="1" applyBorder="1" applyAlignment="1" applyProtection="1">
      <alignment horizontal="center" vertical="center"/>
      <protection hidden="1"/>
    </xf>
    <xf numFmtId="0" fontId="0" fillId="0" borderId="24" xfId="45" applyNumberFormat="1" applyFont="1" applyFill="1" applyBorder="1" applyAlignment="1" applyProtection="1">
      <alignment horizontal="center" vertical="center"/>
      <protection hidden="1"/>
    </xf>
    <xf numFmtId="166" fontId="0" fillId="0" borderId="24" xfId="49" applyFont="1" applyFill="1" applyBorder="1" applyAlignment="1" applyProtection="1">
      <alignment horizontal="right" vertical="center"/>
      <protection hidden="1"/>
    </xf>
    <xf numFmtId="0" fontId="0" fillId="0" borderId="12" xfId="45" applyNumberFormat="1"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43" fontId="0" fillId="0" borderId="0" xfId="45" applyNumberFormat="1" applyFont="1" applyFill="1" applyBorder="1" applyAlignment="1" applyProtection="1">
      <alignment horizontal="left" vertical="center"/>
      <protection locked="0"/>
    </xf>
    <xf numFmtId="0" fontId="0" fillId="0" borderId="12" xfId="45" applyNumberFormat="1" applyFont="1" applyFill="1" applyBorder="1" applyAlignment="1" applyProtection="1">
      <alignment horizontal="center" vertical="center"/>
      <protection hidden="1"/>
    </xf>
    <xf numFmtId="166" fontId="0" fillId="0" borderId="12" xfId="49" applyFont="1" applyFill="1" applyBorder="1" applyAlignment="1" applyProtection="1">
      <alignment horizontal="right" vertical="center"/>
      <protection hidden="1"/>
    </xf>
    <xf numFmtId="49" fontId="0" fillId="0" borderId="16" xfId="45" applyNumberFormat="1" applyFont="1" applyFill="1" applyBorder="1" applyAlignment="1" applyProtection="1">
      <alignment horizontal="center" vertical="center"/>
      <protection hidden="1"/>
    </xf>
    <xf numFmtId="166" fontId="0" fillId="0" borderId="16" xfId="49" applyFont="1" applyFill="1" applyBorder="1" applyAlignment="1" applyProtection="1">
      <alignment horizontal="right" vertical="center"/>
      <protection hidden="1"/>
    </xf>
    <xf numFmtId="49" fontId="0" fillId="0" borderId="17" xfId="45" applyNumberFormat="1" applyFont="1" applyFill="1" applyBorder="1" applyAlignment="1" applyProtection="1">
      <alignment horizontal="center" vertical="center"/>
      <protection hidden="1"/>
    </xf>
    <xf numFmtId="49" fontId="0" fillId="0" borderId="13" xfId="0" applyNumberFormat="1" applyFont="1" applyFill="1" applyBorder="1" applyAlignment="1" applyProtection="1">
      <alignment horizontal="center" vertical="center"/>
      <protection hidden="1"/>
    </xf>
    <xf numFmtId="10" fontId="0" fillId="0" borderId="0" xfId="45" applyNumberFormat="1" applyFont="1" applyFill="1" applyBorder="1" applyAlignment="1" applyProtection="1">
      <alignment vertical="center"/>
      <protection locked="0"/>
    </xf>
    <xf numFmtId="49" fontId="0" fillId="0" borderId="25" xfId="45" applyNumberFormat="1" applyFont="1" applyFill="1" applyBorder="1" applyAlignment="1" applyProtection="1">
      <alignment horizontal="center" vertical="center"/>
      <protection hidden="1"/>
    </xf>
    <xf numFmtId="166" fontId="0" fillId="0" borderId="18" xfId="49" applyFont="1" applyFill="1" applyBorder="1" applyAlignment="1" applyProtection="1">
      <alignment horizontal="right" vertical="center"/>
      <protection hidden="1"/>
    </xf>
    <xf numFmtId="0" fontId="0" fillId="0" borderId="0" xfId="45" applyFont="1" applyFill="1" applyBorder="1" applyAlignment="1" applyProtection="1">
      <alignment vertical="center"/>
      <protection locked="0"/>
    </xf>
    <xf numFmtId="166" fontId="0" fillId="0" borderId="26" xfId="49" applyFont="1" applyFill="1" applyBorder="1" applyAlignment="1" applyProtection="1">
      <alignment horizontal="right" vertical="center"/>
      <protection hidden="1"/>
    </xf>
    <xf numFmtId="166" fontId="0" fillId="0" borderId="27" xfId="49" applyFont="1" applyFill="1" applyBorder="1" applyAlignment="1" applyProtection="1">
      <alignment horizontal="right" vertical="center"/>
      <protection hidden="1"/>
    </xf>
    <xf numFmtId="166" fontId="0" fillId="0" borderId="28" xfId="49" applyFont="1" applyFill="1" applyBorder="1" applyAlignment="1" applyProtection="1">
      <alignment horizontal="right" vertical="center"/>
      <protection hidden="1"/>
    </xf>
    <xf numFmtId="166" fontId="0" fillId="0" borderId="29" xfId="49" applyFont="1" applyFill="1" applyBorder="1" applyAlignment="1" applyProtection="1">
      <alignment horizontal="right" vertical="center"/>
      <protection hidden="1"/>
    </xf>
    <xf numFmtId="0" fontId="0" fillId="0" borderId="22" xfId="45" applyNumberFormat="1" applyFont="1" applyFill="1" applyBorder="1" applyAlignment="1" applyProtection="1">
      <alignment horizontal="center" vertical="center"/>
      <protection hidden="1"/>
    </xf>
    <xf numFmtId="0" fontId="0" fillId="0" borderId="14" xfId="45" applyNumberFormat="1" applyFont="1" applyFill="1" applyBorder="1" applyAlignment="1" applyProtection="1">
      <alignment horizontal="center" vertical="center"/>
      <protection hidden="1"/>
    </xf>
    <xf numFmtId="0" fontId="0" fillId="0" borderId="20" xfId="45" applyNumberFormat="1" applyFont="1" applyFill="1" applyBorder="1" applyAlignment="1" applyProtection="1">
      <alignment horizontal="center" vertical="center"/>
      <protection hidden="1"/>
    </xf>
    <xf numFmtId="1" fontId="0" fillId="0" borderId="18" xfId="45" applyNumberFormat="1" applyFont="1" applyFill="1" applyBorder="1" applyAlignment="1" applyProtection="1">
      <alignment horizontal="center" vertical="center"/>
      <protection hidden="1"/>
    </xf>
    <xf numFmtId="179" fontId="0" fillId="0" borderId="0" xfId="45" applyNumberFormat="1" applyFont="1" applyFill="1" applyBorder="1" applyAlignment="1" applyProtection="1">
      <alignment vertical="center"/>
      <protection locked="0"/>
    </xf>
    <xf numFmtId="0" fontId="0" fillId="0" borderId="30" xfId="45" applyFont="1" applyFill="1" applyBorder="1" applyAlignment="1" applyProtection="1">
      <alignment horizontal="left" vertical="center"/>
      <protection locked="0"/>
    </xf>
    <xf numFmtId="0" fontId="3" fillId="0" borderId="30" xfId="45" applyFont="1" applyFill="1" applyBorder="1" applyAlignment="1" applyProtection="1">
      <alignment horizontal="left" vertical="center"/>
      <protection locked="0"/>
    </xf>
    <xf numFmtId="10" fontId="18" fillId="0" borderId="30" xfId="45" applyNumberFormat="1" applyFont="1" applyFill="1" applyBorder="1" applyAlignment="1" applyProtection="1">
      <alignment horizontal="left" vertical="center"/>
      <protection locked="0"/>
    </xf>
    <xf numFmtId="0" fontId="70" fillId="0" borderId="31" xfId="45" applyFont="1" applyFill="1" applyBorder="1" applyAlignment="1" applyProtection="1">
      <alignment horizontal="center" vertical="center"/>
      <protection locked="0"/>
    </xf>
    <xf numFmtId="168" fontId="68" fillId="0" borderId="32" xfId="45" applyNumberFormat="1" applyFont="1" applyFill="1" applyBorder="1" applyAlignment="1" applyProtection="1">
      <alignment vertical="center"/>
      <protection locked="0"/>
    </xf>
    <xf numFmtId="179" fontId="71" fillId="0" borderId="0" xfId="45" applyNumberFormat="1" applyFont="1" applyFill="1" applyBorder="1" applyAlignment="1" applyProtection="1">
      <alignment vertical="center"/>
      <protection locked="0"/>
    </xf>
    <xf numFmtId="169" fontId="11" fillId="0" borderId="0" xfId="45" applyNumberFormat="1" applyFont="1" applyFill="1" applyBorder="1" applyAlignment="1" applyProtection="1">
      <alignment horizontal="left" vertical="center"/>
      <protection locked="0"/>
    </xf>
    <xf numFmtId="10" fontId="11" fillId="0" borderId="0" xfId="45" applyNumberFormat="1" applyFont="1" applyFill="1" applyBorder="1" applyAlignment="1" applyProtection="1">
      <alignment horizontal="left" vertical="center"/>
      <protection locked="0"/>
    </xf>
    <xf numFmtId="169" fontId="0" fillId="0" borderId="0" xfId="124" applyProtection="1">
      <alignment/>
      <protection locked="0"/>
    </xf>
    <xf numFmtId="0" fontId="0" fillId="0" borderId="33" xfId="45" applyFont="1" applyBorder="1" applyAlignment="1" applyProtection="1">
      <alignment horizontal="center" vertical="center"/>
      <protection locked="0"/>
    </xf>
    <xf numFmtId="0" fontId="0" fillId="0" borderId="34" xfId="45" applyFont="1" applyBorder="1" applyAlignment="1" applyProtection="1">
      <alignment vertical="center"/>
      <protection locked="0"/>
    </xf>
    <xf numFmtId="0" fontId="0" fillId="0" borderId="34" xfId="45" applyFont="1" applyFill="1" applyBorder="1" applyAlignment="1" applyProtection="1">
      <alignment horizontal="center" vertical="center"/>
      <protection locked="0"/>
    </xf>
    <xf numFmtId="0" fontId="0" fillId="0" borderId="35" xfId="45" applyFont="1" applyBorder="1" applyAlignment="1" applyProtection="1">
      <alignment vertical="center"/>
      <protection locked="0"/>
    </xf>
    <xf numFmtId="0" fontId="0" fillId="0" borderId="0" xfId="45" applyFont="1" applyBorder="1" applyAlignment="1" applyProtection="1">
      <alignment vertical="center"/>
      <protection locked="0"/>
    </xf>
    <xf numFmtId="0" fontId="0" fillId="0" borderId="0" xfId="45" applyFont="1" applyFill="1" applyBorder="1" applyAlignment="1" applyProtection="1">
      <alignment horizontal="center" vertical="center"/>
      <protection locked="0"/>
    </xf>
    <xf numFmtId="4" fontId="4" fillId="0" borderId="0" xfId="45" applyNumberFormat="1" applyFont="1" applyFill="1" applyBorder="1" applyAlignment="1" applyProtection="1">
      <alignment horizontal="center" vertical="center" wrapText="1"/>
      <protection locked="0"/>
    </xf>
    <xf numFmtId="0" fontId="0" fillId="0" borderId="0" xfId="45" applyFont="1" applyBorder="1" applyAlignment="1" applyProtection="1">
      <alignment horizontal="left" vertical="center"/>
      <protection locked="0"/>
    </xf>
    <xf numFmtId="0" fontId="4" fillId="0" borderId="0" xfId="45" applyFont="1" applyBorder="1" applyAlignment="1" applyProtection="1">
      <alignment horizontal="center" vertical="center" wrapText="1"/>
      <protection locked="0"/>
    </xf>
    <xf numFmtId="0" fontId="4" fillId="0" borderId="36" xfId="45" applyFont="1" applyBorder="1" applyAlignment="1" applyProtection="1">
      <alignment horizontal="center" vertical="center" wrapText="1"/>
      <protection locked="0"/>
    </xf>
    <xf numFmtId="169" fontId="0" fillId="0" borderId="0" xfId="124" applyFill="1" applyProtection="1">
      <alignment/>
      <protection locked="0"/>
    </xf>
    <xf numFmtId="0" fontId="7" fillId="0" borderId="0" xfId="45" applyFont="1" applyBorder="1" applyAlignment="1" applyProtection="1">
      <alignment horizontal="center" vertical="center" wrapText="1"/>
      <protection locked="0"/>
    </xf>
    <xf numFmtId="4" fontId="0" fillId="0" borderId="0" xfId="45" applyNumberFormat="1" applyFont="1" applyFill="1" applyBorder="1" applyAlignment="1" applyProtection="1">
      <alignment horizontal="center" vertical="center" wrapText="1"/>
      <protection locked="0"/>
    </xf>
    <xf numFmtId="0" fontId="0" fillId="0" borderId="0" xfId="45" applyFont="1" applyBorder="1" applyAlignment="1" applyProtection="1">
      <alignment vertical="center" wrapText="1"/>
      <protection locked="0"/>
    </xf>
    <xf numFmtId="0" fontId="0" fillId="0" borderId="0" xfId="45" applyFont="1" applyBorder="1" applyAlignment="1" applyProtection="1">
      <alignment horizontal="center" vertical="center" wrapText="1"/>
      <protection locked="0"/>
    </xf>
    <xf numFmtId="4" fontId="68" fillId="35" borderId="37" xfId="45" applyNumberFormat="1" applyFont="1" applyFill="1" applyBorder="1" applyAlignment="1" applyProtection="1">
      <alignment horizontal="center" vertical="center" wrapText="1"/>
      <protection locked="0"/>
    </xf>
    <xf numFmtId="166" fontId="9" fillId="36" borderId="38" xfId="45" applyNumberFormat="1" applyFont="1" applyFill="1" applyBorder="1" applyAlignment="1" applyProtection="1">
      <alignment horizontal="centerContinuous" vertical="center" wrapText="1"/>
      <protection locked="0"/>
    </xf>
    <xf numFmtId="166" fontId="3" fillId="0" borderId="39" xfId="49" applyFont="1" applyFill="1" applyBorder="1" applyAlignment="1" applyProtection="1">
      <alignment horizontal="centerContinuous" vertical="center"/>
      <protection locked="0"/>
    </xf>
    <xf numFmtId="2" fontId="12" fillId="0" borderId="18" xfId="0" applyNumberFormat="1" applyFont="1" applyFill="1" applyBorder="1" applyAlignment="1" applyProtection="1">
      <alignment horizontal="center" vertical="center"/>
      <protection locked="0"/>
    </xf>
    <xf numFmtId="4" fontId="0" fillId="0" borderId="18" xfId="99" applyNumberFormat="1" applyFont="1" applyFill="1" applyBorder="1" applyAlignment="1" applyProtection="1">
      <alignment horizontal="center" vertical="center"/>
      <protection locked="0"/>
    </xf>
    <xf numFmtId="4" fontId="0" fillId="0" borderId="18" xfId="99" applyNumberFormat="1" applyFont="1" applyFill="1" applyBorder="1" applyAlignment="1" applyProtection="1">
      <alignment horizontal="center" vertical="center"/>
      <protection locked="0"/>
    </xf>
    <xf numFmtId="4" fontId="0" fillId="0" borderId="12" xfId="45" applyNumberFormat="1" applyFont="1" applyFill="1" applyBorder="1" applyAlignment="1" applyProtection="1">
      <alignment horizontal="center" vertical="center" wrapText="1"/>
      <protection locked="0"/>
    </xf>
    <xf numFmtId="4" fontId="0" fillId="0" borderId="12" xfId="0" applyNumberFormat="1" applyFont="1" applyFill="1" applyBorder="1" applyAlignment="1" applyProtection="1">
      <alignment horizontal="center" vertical="center"/>
      <protection locked="0"/>
    </xf>
    <xf numFmtId="4" fontId="0" fillId="0" borderId="12" xfId="99" applyNumberFormat="1" applyFont="1" applyFill="1" applyBorder="1" applyAlignment="1" applyProtection="1">
      <alignment horizontal="center" vertical="center"/>
      <protection locked="0"/>
    </xf>
    <xf numFmtId="2" fontId="12" fillId="0" borderId="19" xfId="0" applyNumberFormat="1" applyFont="1" applyFill="1" applyBorder="1" applyAlignment="1" applyProtection="1">
      <alignment horizontal="center" vertical="center"/>
      <protection locked="0"/>
    </xf>
    <xf numFmtId="4" fontId="0" fillId="0" borderId="19" xfId="99" applyNumberFormat="1" applyFont="1" applyFill="1" applyBorder="1" applyAlignment="1" applyProtection="1">
      <alignment horizontal="center" vertical="center"/>
      <protection locked="0"/>
    </xf>
    <xf numFmtId="166" fontId="3" fillId="0" borderId="40" xfId="49" applyFont="1" applyFill="1" applyBorder="1" applyAlignment="1" applyProtection="1">
      <alignment horizontal="centerContinuous" vertical="center"/>
      <protection locked="0"/>
    </xf>
    <xf numFmtId="4" fontId="0" fillId="0" borderId="12" xfId="99" applyNumberFormat="1" applyFont="1" applyFill="1" applyBorder="1" applyAlignment="1" applyProtection="1">
      <alignment horizontal="center" vertical="center"/>
      <protection locked="0"/>
    </xf>
    <xf numFmtId="4" fontId="0" fillId="0" borderId="16" xfId="45" applyNumberFormat="1" applyFont="1" applyFill="1" applyBorder="1" applyAlignment="1" applyProtection="1">
      <alignment horizontal="center" vertical="center" wrapText="1"/>
      <protection locked="0"/>
    </xf>
    <xf numFmtId="4" fontId="0" fillId="0" borderId="16" xfId="0" applyNumberFormat="1" applyFont="1" applyFill="1" applyBorder="1" applyAlignment="1" applyProtection="1">
      <alignment horizontal="center" vertical="center"/>
      <protection locked="0"/>
    </xf>
    <xf numFmtId="4" fontId="0" fillId="0" borderId="16" xfId="99" applyNumberFormat="1" applyFont="1" applyFill="1" applyBorder="1" applyAlignment="1" applyProtection="1">
      <alignment horizontal="center" vertical="center"/>
      <protection locked="0"/>
    </xf>
    <xf numFmtId="169" fontId="0" fillId="0" borderId="0" xfId="124" applyFont="1" applyFill="1" applyProtection="1">
      <alignment/>
      <protection locked="0"/>
    </xf>
    <xf numFmtId="4" fontId="0" fillId="0" borderId="26" xfId="99" applyNumberFormat="1" applyFont="1" applyFill="1" applyBorder="1" applyAlignment="1" applyProtection="1">
      <alignment horizontal="center" vertical="center"/>
      <protection locked="0"/>
    </xf>
    <xf numFmtId="4" fontId="0" fillId="0" borderId="29" xfId="99" applyNumberFormat="1" applyFont="1" applyFill="1" applyBorder="1" applyAlignment="1" applyProtection="1">
      <alignment horizontal="center" vertical="center"/>
      <protection locked="0"/>
    </xf>
    <xf numFmtId="4" fontId="0" fillId="0" borderId="24" xfId="45" applyNumberFormat="1" applyFont="1" applyFill="1" applyBorder="1" applyAlignment="1" applyProtection="1">
      <alignment horizontal="center" vertical="center" wrapText="1"/>
      <protection locked="0"/>
    </xf>
    <xf numFmtId="169" fontId="0" fillId="0" borderId="41" xfId="124" applyBorder="1" applyProtection="1">
      <alignment/>
      <protection locked="0"/>
    </xf>
    <xf numFmtId="4" fontId="0" fillId="0" borderId="24" xfId="99" applyNumberFormat="1" applyFont="1" applyFill="1" applyBorder="1" applyAlignment="1" applyProtection="1">
      <alignment horizontal="center" vertical="center"/>
      <protection locked="0"/>
    </xf>
    <xf numFmtId="4" fontId="12" fillId="0" borderId="12" xfId="0" applyNumberFormat="1" applyFont="1" applyFill="1" applyBorder="1" applyAlignment="1" applyProtection="1">
      <alignment horizontal="center" vertical="center"/>
      <protection locked="0"/>
    </xf>
    <xf numFmtId="4" fontId="12" fillId="0" borderId="26" xfId="0" applyNumberFormat="1" applyFont="1" applyFill="1" applyBorder="1" applyAlignment="1" applyProtection="1">
      <alignment horizontal="center" vertical="center"/>
      <protection locked="0"/>
    </xf>
    <xf numFmtId="4" fontId="0" fillId="0" borderId="28" xfId="0" applyNumberFormat="1" applyFont="1" applyFill="1" applyBorder="1" applyAlignment="1" applyProtection="1">
      <alignment horizontal="center" vertical="center"/>
      <protection locked="0"/>
    </xf>
    <xf numFmtId="169" fontId="0" fillId="0" borderId="28" xfId="124" applyBorder="1" applyProtection="1">
      <alignment/>
      <protection locked="0"/>
    </xf>
    <xf numFmtId="4" fontId="0" fillId="0" borderId="28" xfId="99" applyNumberFormat="1" applyFont="1" applyFill="1" applyBorder="1" applyAlignment="1" applyProtection="1">
      <alignment horizontal="center" vertical="center"/>
      <protection locked="0"/>
    </xf>
    <xf numFmtId="4" fontId="0" fillId="0" borderId="27" xfId="0" applyNumberFormat="1" applyFont="1" applyFill="1" applyBorder="1" applyAlignment="1" applyProtection="1">
      <alignment horizontal="center" vertical="center"/>
      <protection locked="0"/>
    </xf>
    <xf numFmtId="4" fontId="0" fillId="0" borderId="27" xfId="99" applyNumberFormat="1" applyFont="1" applyFill="1" applyBorder="1" applyAlignment="1" applyProtection="1">
      <alignment horizontal="center" vertical="center"/>
      <protection locked="0"/>
    </xf>
    <xf numFmtId="4" fontId="0" fillId="0" borderId="22" xfId="45" applyNumberFormat="1" applyFont="1" applyFill="1" applyBorder="1" applyAlignment="1" applyProtection="1">
      <alignment horizontal="center" vertical="center" wrapText="1"/>
      <protection locked="0"/>
    </xf>
    <xf numFmtId="169" fontId="0" fillId="0" borderId="42" xfId="124" applyBorder="1" applyProtection="1">
      <alignment/>
      <protection locked="0"/>
    </xf>
    <xf numFmtId="4" fontId="0" fillId="0" borderId="22" xfId="99" applyNumberFormat="1" applyFont="1" applyFill="1" applyBorder="1" applyAlignment="1" applyProtection="1">
      <alignment horizontal="center" vertical="center"/>
      <protection locked="0"/>
    </xf>
    <xf numFmtId="169" fontId="0" fillId="0" borderId="0" xfId="124" applyFont="1" applyFill="1" applyProtection="1">
      <alignment/>
      <protection locked="0"/>
    </xf>
    <xf numFmtId="4" fontId="0" fillId="0" borderId="16" xfId="99" applyNumberFormat="1" applyFont="1" applyFill="1" applyBorder="1" applyAlignment="1" applyProtection="1">
      <alignment horizontal="center" vertical="center"/>
      <protection locked="0"/>
    </xf>
    <xf numFmtId="4" fontId="0" fillId="0" borderId="14" xfId="99" applyNumberFormat="1" applyFont="1" applyFill="1" applyBorder="1" applyAlignment="1" applyProtection="1">
      <alignment horizontal="center" vertical="center"/>
      <protection locked="0"/>
    </xf>
    <xf numFmtId="4" fontId="0" fillId="0" borderId="14" xfId="99" applyNumberFormat="1" applyFont="1" applyFill="1" applyBorder="1" applyAlignment="1" applyProtection="1">
      <alignment horizontal="center" vertical="center"/>
      <protection locked="0"/>
    </xf>
    <xf numFmtId="169" fontId="0" fillId="0" borderId="0" xfId="124" applyFont="1" applyProtection="1">
      <alignment/>
      <protection locked="0"/>
    </xf>
    <xf numFmtId="166" fontId="3" fillId="0" borderId="43" xfId="49" applyFont="1" applyFill="1" applyBorder="1" applyAlignment="1" applyProtection="1">
      <alignment horizontal="centerContinuous" vertical="center"/>
      <protection locked="0"/>
    </xf>
    <xf numFmtId="4" fontId="0" fillId="0" borderId="20" xfId="99" applyNumberFormat="1" applyFont="1" applyFill="1" applyBorder="1" applyAlignment="1" applyProtection="1">
      <alignment horizontal="center" vertical="center"/>
      <protection locked="0"/>
    </xf>
    <xf numFmtId="4" fontId="0" fillId="0" borderId="20" xfId="99" applyNumberFormat="1" applyFont="1" applyFill="1" applyBorder="1" applyAlignment="1" applyProtection="1">
      <alignment horizontal="center" vertical="center"/>
      <protection locked="0"/>
    </xf>
    <xf numFmtId="4" fontId="68" fillId="35" borderId="44" xfId="45" applyNumberFormat="1" applyFont="1" applyFill="1" applyBorder="1" applyAlignment="1" applyProtection="1">
      <alignment horizontal="center" vertical="center"/>
      <protection locked="0"/>
    </xf>
    <xf numFmtId="10" fontId="68" fillId="35" borderId="44" xfId="102" applyNumberFormat="1" applyFont="1" applyFill="1" applyBorder="1" applyAlignment="1" applyProtection="1">
      <alignment vertical="center"/>
      <protection locked="0"/>
    </xf>
    <xf numFmtId="4" fontId="13" fillId="0" borderId="0" xfId="45" applyNumberFormat="1" applyFont="1" applyFill="1" applyAlignment="1" applyProtection="1">
      <alignment horizontal="centerContinuous" vertical="center" wrapText="1"/>
      <protection locked="0"/>
    </xf>
    <xf numFmtId="0" fontId="13" fillId="0" borderId="0" xfId="45" applyFont="1" applyAlignment="1" applyProtection="1">
      <alignment horizontal="right" vertical="center"/>
      <protection locked="0"/>
    </xf>
    <xf numFmtId="10" fontId="13" fillId="0" borderId="0" xfId="45" applyNumberFormat="1" applyFont="1" applyAlignment="1" applyProtection="1">
      <alignment horizontal="center" vertical="center"/>
      <protection locked="0"/>
    </xf>
    <xf numFmtId="0" fontId="3" fillId="0" borderId="0" xfId="45" applyFont="1" applyFill="1" applyBorder="1" applyAlignment="1" applyProtection="1">
      <alignment horizontal="centerContinuous" vertical="center" wrapText="1"/>
      <protection locked="0"/>
    </xf>
    <xf numFmtId="0" fontId="16" fillId="0" borderId="0" xfId="45" applyFont="1" applyFill="1" applyBorder="1" applyAlignment="1" applyProtection="1">
      <alignment horizontal="centerContinuous" vertical="center" wrapText="1"/>
      <protection locked="0"/>
    </xf>
    <xf numFmtId="0" fontId="4" fillId="0" borderId="0" xfId="45" applyFont="1" applyFill="1" applyBorder="1" applyAlignment="1" applyProtection="1">
      <alignment horizontal="centerContinuous" vertical="center" wrapText="1"/>
      <protection locked="0"/>
    </xf>
    <xf numFmtId="0" fontId="13" fillId="0" borderId="0" xfId="45" applyFont="1" applyFill="1" applyAlignment="1" applyProtection="1">
      <alignment horizontal="centerContinuous" vertical="center" wrapText="1"/>
      <protection locked="0"/>
    </xf>
    <xf numFmtId="4" fontId="13" fillId="0" borderId="0" xfId="45" applyNumberFormat="1" applyFont="1" applyFill="1" applyAlignment="1" applyProtection="1">
      <alignment horizontal="center" vertical="center"/>
      <protection locked="0"/>
    </xf>
    <xf numFmtId="0" fontId="14" fillId="0" borderId="0" xfId="45" applyFont="1" applyBorder="1" applyAlignment="1" applyProtection="1">
      <alignment vertical="center"/>
      <protection locked="0"/>
    </xf>
    <xf numFmtId="0" fontId="14" fillId="0" borderId="0" xfId="45" applyFont="1" applyFill="1" applyBorder="1" applyAlignment="1" applyProtection="1">
      <alignment horizontal="center" vertical="center" wrapText="1"/>
      <protection locked="0"/>
    </xf>
    <xf numFmtId="0" fontId="6" fillId="0" borderId="0" xfId="45" applyFont="1" applyBorder="1" applyAlignment="1" applyProtection="1">
      <alignment horizontal="left" vertical="center" wrapText="1"/>
      <protection locked="0"/>
    </xf>
    <xf numFmtId="0" fontId="13" fillId="0" borderId="0" xfId="45" applyFont="1" applyAlignment="1" applyProtection="1">
      <alignment horizontal="center" vertical="center"/>
      <protection locked="0"/>
    </xf>
    <xf numFmtId="4" fontId="0" fillId="0" borderId="0" xfId="45" applyNumberFormat="1" applyFont="1" applyBorder="1" applyAlignment="1" applyProtection="1">
      <alignment vertical="center"/>
      <protection locked="0"/>
    </xf>
    <xf numFmtId="0" fontId="15" fillId="0" borderId="0" xfId="45" applyFont="1" applyBorder="1" applyAlignment="1" applyProtection="1">
      <alignment horizontal="center" vertical="center" wrapText="1"/>
      <protection locked="0"/>
    </xf>
    <xf numFmtId="0" fontId="15" fillId="0" borderId="0" xfId="45" applyFont="1" applyFill="1" applyBorder="1" applyAlignment="1" applyProtection="1">
      <alignment horizontal="center" vertical="center" wrapText="1"/>
      <protection locked="0"/>
    </xf>
    <xf numFmtId="4" fontId="0" fillId="0" borderId="0" xfId="45" applyNumberFormat="1" applyFont="1" applyBorder="1" applyAlignment="1" applyProtection="1">
      <alignment horizontal="center" vertical="center"/>
      <protection locked="0"/>
    </xf>
    <xf numFmtId="0" fontId="13" fillId="0" borderId="0" xfId="45" applyFont="1" applyBorder="1" applyAlignment="1" applyProtection="1">
      <alignment horizontal="center" vertical="center"/>
      <protection locked="0"/>
    </xf>
    <xf numFmtId="4" fontId="0" fillId="0" borderId="0" xfId="45" applyNumberFormat="1" applyFont="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6" fillId="0" borderId="0" xfId="45" applyFont="1" applyBorder="1" applyAlignment="1" applyProtection="1">
      <alignment horizontal="center" vertical="center" wrapText="1"/>
      <protection locked="0"/>
    </xf>
    <xf numFmtId="0" fontId="0" fillId="0" borderId="0" xfId="45" applyFont="1" applyFill="1" applyBorder="1" applyAlignment="1" applyProtection="1">
      <alignment horizontal="center" vertical="center" wrapText="1"/>
      <protection locked="0"/>
    </xf>
    <xf numFmtId="0" fontId="4" fillId="0" borderId="0" xfId="0" applyFont="1" applyAlignment="1" applyProtection="1">
      <alignment horizontal="center" vertical="center"/>
      <protection locked="0"/>
    </xf>
    <xf numFmtId="168" fontId="0" fillId="0" borderId="0" xfId="45" applyNumberFormat="1"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0" fillId="0" borderId="0" xfId="45" applyFont="1" applyAlignment="1" applyProtection="1">
      <alignment horizontal="center" vertical="center"/>
      <protection locked="0"/>
    </xf>
    <xf numFmtId="0" fontId="0" fillId="0" borderId="0" xfId="45" applyFont="1" applyBorder="1" applyAlignment="1" applyProtection="1">
      <alignment horizontal="center" vertical="center"/>
      <protection locked="0"/>
    </xf>
    <xf numFmtId="4" fontId="0" fillId="0" borderId="0" xfId="45" applyNumberFormat="1" applyFont="1" applyFill="1" applyBorder="1" applyAlignment="1" applyProtection="1">
      <alignment horizontal="center" vertical="center"/>
      <protection locked="0"/>
    </xf>
    <xf numFmtId="0" fontId="0" fillId="0" borderId="0" xfId="45" applyFont="1" applyBorder="1" applyAlignment="1" applyProtection="1">
      <alignment horizontal="left" vertical="center"/>
      <protection locked="0"/>
    </xf>
    <xf numFmtId="166" fontId="0" fillId="0" borderId="0" xfId="49" applyFont="1" applyFill="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4" fillId="0" borderId="0" xfId="45" applyFont="1" applyBorder="1" applyAlignment="1" applyProtection="1">
      <alignment horizontal="center" vertical="center"/>
      <protection locked="0"/>
    </xf>
    <xf numFmtId="0" fontId="13" fillId="0" borderId="0" xfId="0" applyFont="1" applyBorder="1" applyAlignment="1" applyProtection="1">
      <alignment vertical="center"/>
      <protection locked="0"/>
    </xf>
    <xf numFmtId="0" fontId="2" fillId="0" borderId="34" xfId="45" applyFont="1" applyBorder="1" applyAlignment="1" applyProtection="1">
      <alignment vertical="center"/>
      <protection locked="0"/>
    </xf>
    <xf numFmtId="0" fontId="2" fillId="0" borderId="45" xfId="45" applyFont="1" applyBorder="1" applyAlignment="1" applyProtection="1">
      <alignment vertical="center"/>
      <protection locked="0"/>
    </xf>
    <xf numFmtId="0" fontId="3" fillId="0" borderId="0" xfId="45" applyFont="1" applyBorder="1" applyAlignment="1" applyProtection="1">
      <alignment vertical="center"/>
      <protection locked="0"/>
    </xf>
    <xf numFmtId="0" fontId="3" fillId="0" borderId="36" xfId="45" applyFont="1" applyBorder="1" applyAlignment="1" applyProtection="1">
      <alignment vertical="center"/>
      <protection locked="0"/>
    </xf>
    <xf numFmtId="0" fontId="5" fillId="0" borderId="0" xfId="45" applyFont="1" applyBorder="1" applyAlignment="1" applyProtection="1">
      <alignment vertical="center"/>
      <protection locked="0"/>
    </xf>
    <xf numFmtId="0" fontId="5" fillId="0" borderId="36" xfId="45" applyFont="1" applyBorder="1" applyAlignment="1" applyProtection="1">
      <alignment vertical="center"/>
      <protection locked="0"/>
    </xf>
    <xf numFmtId="0" fontId="4" fillId="0" borderId="35" xfId="45" applyFont="1" applyBorder="1" applyAlignment="1" applyProtection="1">
      <alignment vertical="center" wrapText="1"/>
      <protection hidden="1"/>
    </xf>
    <xf numFmtId="0" fontId="4" fillId="0" borderId="0" xfId="45" applyFont="1" applyBorder="1" applyAlignment="1" applyProtection="1">
      <alignment horizontal="center" vertical="center" wrapText="1"/>
      <protection hidden="1"/>
    </xf>
    <xf numFmtId="0" fontId="4" fillId="0" borderId="0" xfId="45" applyFont="1" applyFill="1" applyBorder="1" applyAlignment="1" applyProtection="1">
      <alignment vertical="center"/>
      <protection hidden="1"/>
    </xf>
    <xf numFmtId="0" fontId="4" fillId="0" borderId="0" xfId="45" applyFont="1" applyBorder="1" applyAlignment="1" applyProtection="1">
      <alignment vertical="center"/>
      <protection hidden="1"/>
    </xf>
    <xf numFmtId="0" fontId="6" fillId="0" borderId="0" xfId="45" applyFont="1" applyFill="1" applyBorder="1" applyAlignment="1" applyProtection="1">
      <alignment vertical="center"/>
      <protection hidden="1"/>
    </xf>
    <xf numFmtId="168" fontId="4" fillId="0" borderId="36" xfId="45" applyNumberFormat="1" applyFont="1" applyBorder="1" applyAlignment="1" applyProtection="1">
      <alignment horizontal="center" vertical="center" wrapText="1"/>
      <protection hidden="1"/>
    </xf>
    <xf numFmtId="0" fontId="4" fillId="0" borderId="35" xfId="45" applyFont="1" applyBorder="1" applyAlignment="1" applyProtection="1">
      <alignment horizontal="left" vertical="center"/>
      <protection hidden="1"/>
    </xf>
    <xf numFmtId="0" fontId="4" fillId="0" borderId="0" xfId="45" applyFont="1" applyFill="1" applyBorder="1" applyAlignment="1" applyProtection="1">
      <alignment horizontal="left" vertical="center" wrapText="1"/>
      <protection hidden="1"/>
    </xf>
    <xf numFmtId="0" fontId="4" fillId="0" borderId="0" xfId="45" applyFont="1" applyBorder="1" applyAlignment="1" applyProtection="1">
      <alignment horizontal="left" vertical="center" wrapText="1"/>
      <protection hidden="1"/>
    </xf>
    <xf numFmtId="0" fontId="4" fillId="0" borderId="36" xfId="45" applyFont="1" applyBorder="1" applyAlignment="1" applyProtection="1">
      <alignment horizontal="center" vertical="center" wrapText="1"/>
      <protection hidden="1"/>
    </xf>
    <xf numFmtId="0" fontId="4" fillId="0" borderId="35" xfId="45" applyFont="1" applyBorder="1" applyAlignment="1" applyProtection="1">
      <alignment vertical="center"/>
      <protection hidden="1"/>
    </xf>
    <xf numFmtId="0" fontId="7" fillId="0" borderId="0" xfId="45" applyFont="1" applyBorder="1" applyAlignment="1" applyProtection="1">
      <alignment vertical="center" wrapText="1"/>
      <protection hidden="1"/>
    </xf>
    <xf numFmtId="178" fontId="4" fillId="0" borderId="0" xfId="49" applyNumberFormat="1" applyFont="1" applyFill="1" applyBorder="1" applyAlignment="1" applyProtection="1">
      <alignment horizontal="center" vertical="center" wrapText="1"/>
      <protection hidden="1"/>
    </xf>
    <xf numFmtId="166" fontId="4" fillId="0" borderId="36" xfId="45" applyNumberFormat="1" applyFont="1" applyBorder="1" applyAlignment="1" applyProtection="1">
      <alignment horizontal="center" vertical="center" wrapText="1"/>
      <protection hidden="1"/>
    </xf>
    <xf numFmtId="4" fontId="4" fillId="0" borderId="0" xfId="45" applyNumberFormat="1" applyFont="1" applyFill="1" applyBorder="1" applyAlignment="1" applyProtection="1">
      <alignment horizontal="center" vertical="center" wrapText="1"/>
      <protection hidden="1"/>
    </xf>
    <xf numFmtId="179" fontId="4" fillId="0" borderId="0" xfId="45" applyNumberFormat="1" applyFont="1" applyBorder="1" applyAlignment="1" applyProtection="1">
      <alignment horizontal="center" vertical="center" wrapText="1"/>
      <protection hidden="1"/>
    </xf>
    <xf numFmtId="166" fontId="4" fillId="0" borderId="36" xfId="49" applyFont="1" applyFill="1" applyBorder="1" applyAlignment="1" applyProtection="1">
      <alignment horizontal="center" vertical="center" wrapText="1"/>
      <protection hidden="1"/>
    </xf>
    <xf numFmtId="0" fontId="4" fillId="0" borderId="35" xfId="45" applyFont="1" applyBorder="1" applyAlignment="1" applyProtection="1">
      <alignment horizontal="left" vertical="center" wrapText="1"/>
      <protection hidden="1"/>
    </xf>
    <xf numFmtId="0" fontId="7" fillId="0" borderId="0" xfId="45" applyFont="1" applyBorder="1" applyAlignment="1" applyProtection="1">
      <alignment horizontal="center" vertical="center" wrapText="1"/>
      <protection hidden="1"/>
    </xf>
    <xf numFmtId="166" fontId="4" fillId="0" borderId="0" xfId="45" applyNumberFormat="1" applyFont="1" applyBorder="1" applyAlignment="1" applyProtection="1">
      <alignment horizontal="center" vertical="center" wrapText="1"/>
      <protection hidden="1"/>
    </xf>
    <xf numFmtId="4" fontId="4" fillId="0" borderId="36" xfId="45" applyNumberFormat="1" applyFont="1" applyBorder="1" applyAlignment="1" applyProtection="1">
      <alignment horizontal="center" vertical="center" wrapText="1"/>
      <protection hidden="1"/>
    </xf>
    <xf numFmtId="0" fontId="4" fillId="0" borderId="46" xfId="45" applyFont="1" applyBorder="1" applyAlignment="1" applyProtection="1">
      <alignment vertical="center"/>
      <protection hidden="1"/>
    </xf>
    <xf numFmtId="0" fontId="6" fillId="0" borderId="47" xfId="45" applyFont="1" applyFill="1" applyBorder="1" applyAlignment="1" applyProtection="1">
      <alignment vertical="center"/>
      <protection hidden="1"/>
    </xf>
    <xf numFmtId="0" fontId="4" fillId="0" borderId="47" xfId="45" applyFont="1" applyFill="1" applyBorder="1" applyAlignment="1" applyProtection="1">
      <alignment vertical="center"/>
      <protection hidden="1"/>
    </xf>
    <xf numFmtId="0" fontId="7" fillId="0" borderId="47" xfId="45" applyFont="1" applyBorder="1" applyAlignment="1" applyProtection="1">
      <alignment vertical="center" wrapText="1"/>
      <protection hidden="1"/>
    </xf>
    <xf numFmtId="180" fontId="4" fillId="0" borderId="47" xfId="49" applyNumberFormat="1" applyFont="1" applyFill="1" applyBorder="1" applyAlignment="1" applyProtection="1">
      <alignment horizontal="center" vertical="center" wrapText="1"/>
      <protection hidden="1"/>
    </xf>
    <xf numFmtId="0" fontId="6" fillId="0" borderId="48" xfId="45" applyFont="1" applyFill="1" applyBorder="1" applyAlignment="1" applyProtection="1">
      <alignment vertical="center"/>
      <protection hidden="1"/>
    </xf>
    <xf numFmtId="0" fontId="0" fillId="0" borderId="35" xfId="45" applyFont="1" applyBorder="1" applyAlignment="1" applyProtection="1">
      <alignment vertical="center" wrapText="1"/>
      <protection hidden="1"/>
    </xf>
    <xf numFmtId="0" fontId="0" fillId="0" borderId="0" xfId="45" applyFont="1" applyBorder="1" applyAlignment="1" applyProtection="1">
      <alignment vertical="center" wrapText="1"/>
      <protection hidden="1"/>
    </xf>
    <xf numFmtId="0" fontId="0" fillId="0" borderId="0" xfId="45" applyFont="1" applyFill="1" applyBorder="1" applyAlignment="1" applyProtection="1">
      <alignment vertical="center" wrapText="1"/>
      <protection hidden="1"/>
    </xf>
    <xf numFmtId="0" fontId="0" fillId="0" borderId="0" xfId="45" applyFont="1" applyBorder="1" applyAlignment="1" applyProtection="1">
      <alignment horizontal="left" vertical="center" wrapText="1"/>
      <protection hidden="1"/>
    </xf>
    <xf numFmtId="0" fontId="0" fillId="0" borderId="0" xfId="45" applyFont="1" applyBorder="1" applyAlignment="1" applyProtection="1">
      <alignment horizontal="center" vertical="center" wrapText="1"/>
      <protection hidden="1"/>
    </xf>
    <xf numFmtId="4" fontId="0" fillId="0" borderId="0" xfId="45" applyNumberFormat="1" applyFont="1" applyFill="1" applyBorder="1" applyAlignment="1" applyProtection="1">
      <alignment horizontal="center" vertical="center" wrapText="1"/>
      <protection hidden="1"/>
    </xf>
    <xf numFmtId="0" fontId="0" fillId="0" borderId="36" xfId="45" applyFont="1" applyBorder="1" applyAlignment="1" applyProtection="1">
      <alignment horizontal="center" vertical="center" wrapText="1"/>
      <protection hidden="1"/>
    </xf>
    <xf numFmtId="0" fontId="68" fillId="34" borderId="49" xfId="45" applyFont="1" applyFill="1" applyBorder="1" applyAlignment="1" applyProtection="1">
      <alignment horizontal="center" vertical="center" wrapText="1"/>
      <protection hidden="1"/>
    </xf>
    <xf numFmtId="0" fontId="68" fillId="34" borderId="37" xfId="45" applyFont="1" applyFill="1" applyBorder="1" applyAlignment="1" applyProtection="1">
      <alignment horizontal="left" vertical="center" wrapText="1"/>
      <protection hidden="1"/>
    </xf>
    <xf numFmtId="0" fontId="68" fillId="34" borderId="50" xfId="45" applyFont="1" applyFill="1" applyBorder="1" applyAlignment="1" applyProtection="1">
      <alignment horizontal="center" vertical="center" wrapText="1"/>
      <protection hidden="1"/>
    </xf>
    <xf numFmtId="4" fontId="68" fillId="35" borderId="37" xfId="45" applyNumberFormat="1" applyFont="1" applyFill="1" applyBorder="1" applyAlignment="1" applyProtection="1">
      <alignment horizontal="center" vertical="center" wrapText="1"/>
      <protection hidden="1"/>
    </xf>
    <xf numFmtId="4" fontId="68" fillId="34" borderId="50" xfId="45" applyNumberFormat="1" applyFont="1" applyFill="1" applyBorder="1" applyAlignment="1" applyProtection="1">
      <alignment horizontal="center" vertical="center" wrapText="1"/>
      <protection hidden="1"/>
    </xf>
    <xf numFmtId="166" fontId="68" fillId="34" borderId="50" xfId="49" applyFont="1" applyFill="1" applyBorder="1" applyAlignment="1" applyProtection="1">
      <alignment horizontal="center" vertical="center" wrapText="1"/>
      <protection hidden="1"/>
    </xf>
    <xf numFmtId="168" fontId="68" fillId="34" borderId="51" xfId="45" applyNumberFormat="1" applyFont="1" applyFill="1" applyBorder="1" applyAlignment="1" applyProtection="1">
      <alignment horizontal="center" vertical="center" wrapText="1"/>
      <protection hidden="1"/>
    </xf>
    <xf numFmtId="170" fontId="9" fillId="37" borderId="52" xfId="45" applyNumberFormat="1" applyFont="1" applyFill="1" applyBorder="1" applyAlignment="1" applyProtection="1">
      <alignment horizontal="center" vertical="center" wrapText="1"/>
      <protection hidden="1"/>
    </xf>
    <xf numFmtId="170" fontId="9" fillId="37" borderId="53" xfId="45" applyNumberFormat="1" applyFont="1" applyFill="1" applyBorder="1" applyAlignment="1" applyProtection="1">
      <alignment horizontal="center" vertical="center" wrapText="1"/>
      <protection hidden="1"/>
    </xf>
    <xf numFmtId="170" fontId="9" fillId="38" borderId="38" xfId="45" applyNumberFormat="1" applyFont="1" applyFill="1" applyBorder="1" applyAlignment="1" applyProtection="1">
      <alignment horizontal="center" vertical="center" wrapText="1"/>
      <protection hidden="1"/>
    </xf>
    <xf numFmtId="0" fontId="9" fillId="36" borderId="38" xfId="45" applyFont="1" applyFill="1" applyBorder="1" applyAlignment="1" applyProtection="1">
      <alignment horizontal="left" vertical="center" wrapText="1"/>
      <protection hidden="1"/>
    </xf>
    <xf numFmtId="166" fontId="9" fillId="36" borderId="38" xfId="45" applyNumberFormat="1" applyFont="1" applyFill="1" applyBorder="1" applyAlignment="1" applyProtection="1">
      <alignment horizontal="centerContinuous" vertical="center" wrapText="1"/>
      <protection hidden="1"/>
    </xf>
    <xf numFmtId="166" fontId="9" fillId="36" borderId="38" xfId="49" applyFont="1" applyFill="1" applyBorder="1" applyAlignment="1" applyProtection="1">
      <alignment horizontal="centerContinuous" vertical="center" wrapText="1"/>
      <protection hidden="1"/>
    </xf>
    <xf numFmtId="10" fontId="9" fillId="36" borderId="54" xfId="102" applyNumberFormat="1" applyFont="1" applyFill="1" applyBorder="1" applyAlignment="1" applyProtection="1">
      <alignment horizontal="center" vertical="center" wrapText="1"/>
      <protection hidden="1"/>
    </xf>
    <xf numFmtId="0" fontId="3" fillId="0" borderId="32" xfId="45" applyFont="1" applyFill="1" applyBorder="1" applyAlignment="1" applyProtection="1">
      <alignment horizontal="center" vertical="center"/>
      <protection hidden="1"/>
    </xf>
    <xf numFmtId="0" fontId="3" fillId="0" borderId="55" xfId="45" applyFont="1" applyFill="1" applyBorder="1" applyAlignment="1" applyProtection="1">
      <alignment horizontal="center" vertical="center"/>
      <protection hidden="1"/>
    </xf>
    <xf numFmtId="0" fontId="3" fillId="0" borderId="39" xfId="45" applyFont="1" applyFill="1" applyBorder="1" applyAlignment="1" applyProtection="1">
      <alignment horizontal="center" vertical="center" wrapText="1"/>
      <protection hidden="1"/>
    </xf>
    <xf numFmtId="0" fontId="3" fillId="0" borderId="39" xfId="45" applyFont="1" applyBorder="1" applyAlignment="1" applyProtection="1">
      <alignment horizontal="left" vertical="center" wrapText="1"/>
      <protection hidden="1"/>
    </xf>
    <xf numFmtId="166" fontId="3" fillId="0" borderId="39" xfId="49" applyFont="1" applyFill="1" applyBorder="1" applyAlignment="1" applyProtection="1">
      <alignment horizontal="centerContinuous" vertical="center"/>
      <protection hidden="1"/>
    </xf>
    <xf numFmtId="10" fontId="3" fillId="0" borderId="56" xfId="102" applyNumberFormat="1" applyFont="1" applyFill="1" applyBorder="1" applyAlignment="1" applyProtection="1">
      <alignment horizontal="center" vertical="center" wrapText="1"/>
      <protection hidden="1"/>
    </xf>
    <xf numFmtId="174" fontId="0" fillId="0" borderId="18" xfId="0" applyNumberFormat="1" applyBorder="1" applyAlignment="1" applyProtection="1">
      <alignment horizontal="center" vertical="center"/>
      <protection hidden="1"/>
    </xf>
    <xf numFmtId="0" fontId="0" fillId="0" borderId="18" xfId="0" applyFont="1" applyFill="1" applyBorder="1" applyAlignment="1" applyProtection="1">
      <alignment horizontal="center" vertical="center"/>
      <protection hidden="1"/>
    </xf>
    <xf numFmtId="0" fontId="0" fillId="0" borderId="18" xfId="0" applyFont="1" applyFill="1" applyBorder="1" applyAlignment="1" applyProtection="1">
      <alignment horizontal="left" vertical="center" wrapText="1"/>
      <protection hidden="1"/>
    </xf>
    <xf numFmtId="4" fontId="0" fillId="0" borderId="18" xfId="0" applyNumberFormat="1" applyFont="1" applyFill="1" applyBorder="1" applyAlignment="1" applyProtection="1">
      <alignment horizontal="center" vertical="center"/>
      <protection hidden="1"/>
    </xf>
    <xf numFmtId="2" fontId="12" fillId="0" borderId="18" xfId="0" applyNumberFormat="1" applyFont="1" applyFill="1" applyBorder="1" applyAlignment="1" applyProtection="1">
      <alignment horizontal="center" vertical="center"/>
      <protection hidden="1"/>
    </xf>
    <xf numFmtId="10" fontId="0" fillId="0" borderId="57" xfId="102" applyNumberFormat="1" applyFont="1" applyFill="1" applyBorder="1" applyAlignment="1" applyProtection="1">
      <alignment horizontal="center" vertical="center"/>
      <protection hidden="1"/>
    </xf>
    <xf numFmtId="174" fontId="0" fillId="0" borderId="18" xfId="0" applyNumberFormat="1" applyFill="1" applyBorder="1" applyAlignment="1" applyProtection="1">
      <alignment horizontal="center" vertical="center"/>
      <protection hidden="1"/>
    </xf>
    <xf numFmtId="4" fontId="0" fillId="0" borderId="18" xfId="99" applyNumberFormat="1" applyFont="1" applyFill="1" applyBorder="1" applyAlignment="1" applyProtection="1">
      <alignment horizontal="center" vertical="center"/>
      <protection hidden="1"/>
    </xf>
    <xf numFmtId="10" fontId="0" fillId="0" borderId="57" xfId="102" applyNumberFormat="1" applyFont="1" applyFill="1" applyBorder="1" applyAlignment="1" applyProtection="1">
      <alignment horizontal="center" vertical="center"/>
      <protection hidden="1"/>
    </xf>
    <xf numFmtId="0" fontId="0" fillId="0" borderId="12" xfId="0" applyFont="1" applyFill="1" applyBorder="1" applyAlignment="1" applyProtection="1">
      <alignment horizontal="center" vertical="center"/>
      <protection hidden="1"/>
    </xf>
    <xf numFmtId="0" fontId="0" fillId="0" borderId="12" xfId="0" applyFont="1" applyFill="1" applyBorder="1" applyAlignment="1" applyProtection="1">
      <alignment horizontal="left" vertical="center" wrapText="1"/>
      <protection hidden="1"/>
    </xf>
    <xf numFmtId="4" fontId="0" fillId="0" borderId="12" xfId="0" applyNumberFormat="1" applyFont="1" applyFill="1" applyBorder="1" applyAlignment="1" applyProtection="1">
      <alignment horizontal="center" vertical="center"/>
      <protection hidden="1"/>
    </xf>
    <xf numFmtId="10" fontId="0" fillId="0" borderId="58" xfId="102" applyNumberFormat="1" applyFont="1" applyFill="1" applyBorder="1" applyAlignment="1" applyProtection="1">
      <alignment horizontal="center" vertical="center"/>
      <protection hidden="1"/>
    </xf>
    <xf numFmtId="1" fontId="0" fillId="0" borderId="18" xfId="82" applyNumberFormat="1" applyFont="1" applyBorder="1" applyAlignment="1" applyProtection="1">
      <alignment horizontal="center" vertical="center"/>
      <protection hidden="1"/>
    </xf>
    <xf numFmtId="0" fontId="0" fillId="0" borderId="19" xfId="0" applyFont="1" applyFill="1" applyBorder="1" applyAlignment="1" applyProtection="1">
      <alignment horizontal="center" vertical="center"/>
      <protection hidden="1"/>
    </xf>
    <xf numFmtId="0" fontId="0" fillId="0" borderId="19" xfId="0" applyFont="1" applyFill="1" applyBorder="1" applyAlignment="1" applyProtection="1">
      <alignment horizontal="left" vertical="center" wrapText="1"/>
      <protection hidden="1"/>
    </xf>
    <xf numFmtId="4" fontId="0" fillId="0" borderId="19" xfId="0" applyNumberFormat="1" applyFont="1" applyFill="1" applyBorder="1" applyAlignment="1" applyProtection="1">
      <alignment horizontal="center" vertical="center"/>
      <protection hidden="1"/>
    </xf>
    <xf numFmtId="10" fontId="0" fillId="0" borderId="59" xfId="102" applyNumberFormat="1" applyFont="1" applyFill="1" applyBorder="1" applyAlignment="1" applyProtection="1">
      <alignment horizontal="center" vertical="center"/>
      <protection hidden="1"/>
    </xf>
    <xf numFmtId="0" fontId="3" fillId="0" borderId="60" xfId="45" applyFont="1" applyFill="1" applyBorder="1" applyAlignment="1" applyProtection="1">
      <alignment horizontal="center" vertical="center"/>
      <protection hidden="1"/>
    </xf>
    <xf numFmtId="0" fontId="3" fillId="0" borderId="40" xfId="45" applyFont="1" applyFill="1" applyBorder="1" applyAlignment="1" applyProtection="1">
      <alignment horizontal="center" vertical="center"/>
      <protection hidden="1"/>
    </xf>
    <xf numFmtId="0" fontId="3" fillId="0" borderId="40" xfId="45" applyFont="1" applyFill="1" applyBorder="1" applyAlignment="1" applyProtection="1">
      <alignment horizontal="center" vertical="center" wrapText="1"/>
      <protection hidden="1"/>
    </xf>
    <xf numFmtId="0" fontId="3" fillId="0" borderId="40" xfId="45" applyFont="1" applyFill="1" applyBorder="1" applyAlignment="1" applyProtection="1">
      <alignment horizontal="left" vertical="center" wrapText="1"/>
      <protection hidden="1"/>
    </xf>
    <xf numFmtId="166" fontId="3" fillId="0" borderId="40" xfId="49" applyFont="1" applyFill="1" applyBorder="1" applyAlignment="1" applyProtection="1">
      <alignment horizontal="centerContinuous" vertical="center"/>
      <protection hidden="1"/>
    </xf>
    <xf numFmtId="10" fontId="3" fillId="0" borderId="61" xfId="102" applyNumberFormat="1" applyFont="1" applyFill="1" applyBorder="1" applyAlignment="1" applyProtection="1">
      <alignment horizontal="center" vertical="center" wrapText="1"/>
      <protection hidden="1"/>
    </xf>
    <xf numFmtId="0" fontId="0" fillId="0" borderId="16" xfId="0" applyFont="1" applyFill="1" applyBorder="1" applyAlignment="1" applyProtection="1">
      <alignment horizontal="center" vertical="center"/>
      <protection hidden="1"/>
    </xf>
    <xf numFmtId="0" fontId="0" fillId="0" borderId="16" xfId="0" applyFont="1" applyFill="1" applyBorder="1" applyAlignment="1" applyProtection="1">
      <alignment horizontal="left" vertical="center" wrapText="1"/>
      <protection hidden="1"/>
    </xf>
    <xf numFmtId="4" fontId="0" fillId="0" borderId="16" xfId="0" applyNumberFormat="1" applyFont="1" applyFill="1" applyBorder="1" applyAlignment="1" applyProtection="1">
      <alignment horizontal="center" vertical="center"/>
      <protection hidden="1"/>
    </xf>
    <xf numFmtId="10" fontId="0" fillId="0" borderId="62" xfId="102" applyNumberFormat="1" applyFont="1" applyFill="1" applyBorder="1" applyAlignment="1" applyProtection="1">
      <alignment horizontal="center" vertical="center"/>
      <protection hidden="1"/>
    </xf>
    <xf numFmtId="0" fontId="0" fillId="0" borderId="12" xfId="45" applyFont="1" applyFill="1" applyBorder="1" applyAlignment="1" applyProtection="1">
      <alignment horizontal="center" vertical="center" wrapText="1"/>
      <protection hidden="1"/>
    </xf>
    <xf numFmtId="4" fontId="0" fillId="0" borderId="12" xfId="99" applyNumberFormat="1" applyFont="1" applyFill="1" applyBorder="1" applyAlignment="1" applyProtection="1">
      <alignment horizontal="center" vertical="center"/>
      <protection hidden="1"/>
    </xf>
    <xf numFmtId="0" fontId="0" fillId="0" borderId="12" xfId="45" applyFont="1" applyFill="1" applyBorder="1" applyAlignment="1" applyProtection="1">
      <alignment horizontal="center" vertical="center" wrapText="1"/>
      <protection hidden="1"/>
    </xf>
    <xf numFmtId="0" fontId="0" fillId="0" borderId="26" xfId="45" applyFont="1" applyFill="1" applyBorder="1" applyAlignment="1" applyProtection="1">
      <alignment horizontal="center" vertical="center" wrapText="1"/>
      <protection hidden="1"/>
    </xf>
    <xf numFmtId="0" fontId="0" fillId="0" borderId="26" xfId="0" applyFont="1" applyFill="1" applyBorder="1" applyAlignment="1" applyProtection="1">
      <alignment horizontal="center" vertical="center"/>
      <protection hidden="1"/>
    </xf>
    <xf numFmtId="0" fontId="0" fillId="0" borderId="26" xfId="0" applyFont="1" applyFill="1" applyBorder="1" applyAlignment="1" applyProtection="1">
      <alignment horizontal="left" vertical="center" wrapText="1"/>
      <protection hidden="1"/>
    </xf>
    <xf numFmtId="4" fontId="0" fillId="0" borderId="26" xfId="0" applyNumberFormat="1" applyFont="1" applyFill="1" applyBorder="1" applyAlignment="1" applyProtection="1">
      <alignment horizontal="center" vertical="center"/>
      <protection hidden="1"/>
    </xf>
    <xf numFmtId="10" fontId="0" fillId="0" borderId="63" xfId="102" applyNumberFormat="1" applyFont="1" applyFill="1" applyBorder="1" applyAlignment="1" applyProtection="1">
      <alignment horizontal="center" vertical="center"/>
      <protection hidden="1"/>
    </xf>
    <xf numFmtId="0" fontId="0" fillId="0" borderId="29" xfId="45" applyFont="1" applyFill="1" applyBorder="1" applyAlignment="1" applyProtection="1">
      <alignment horizontal="center" vertical="center" wrapText="1"/>
      <protection hidden="1"/>
    </xf>
    <xf numFmtId="0" fontId="0" fillId="0" borderId="29" xfId="0" applyFont="1" applyFill="1" applyBorder="1" applyAlignment="1" applyProtection="1">
      <alignment horizontal="center" vertical="center"/>
      <protection hidden="1"/>
    </xf>
    <xf numFmtId="0" fontId="0" fillId="0" borderId="29" xfId="0" applyFont="1" applyFill="1" applyBorder="1" applyAlignment="1" applyProtection="1">
      <alignment horizontal="left" vertical="center" wrapText="1"/>
      <protection hidden="1"/>
    </xf>
    <xf numFmtId="4" fontId="0" fillId="0" borderId="29" xfId="0" applyNumberFormat="1" applyFont="1" applyFill="1" applyBorder="1" applyAlignment="1" applyProtection="1">
      <alignment horizontal="center" vertical="center"/>
      <protection hidden="1"/>
    </xf>
    <xf numFmtId="10" fontId="0" fillId="0" borderId="64" xfId="102" applyNumberFormat="1" applyFont="1" applyFill="1" applyBorder="1" applyAlignment="1" applyProtection="1">
      <alignment horizontal="center" vertical="center"/>
      <protection hidden="1"/>
    </xf>
    <xf numFmtId="0" fontId="3" fillId="0" borderId="60" xfId="45" applyFont="1" applyBorder="1" applyAlignment="1" applyProtection="1">
      <alignment horizontal="center" vertical="center"/>
      <protection hidden="1"/>
    </xf>
    <xf numFmtId="0" fontId="3" fillId="0" borderId="40" xfId="45" applyFont="1" applyBorder="1" applyAlignment="1" applyProtection="1">
      <alignment horizontal="center" vertical="center"/>
      <protection hidden="1"/>
    </xf>
    <xf numFmtId="0" fontId="0" fillId="0" borderId="24" xfId="0" applyFont="1" applyFill="1" applyBorder="1" applyAlignment="1" applyProtection="1">
      <alignment horizontal="center" vertical="center"/>
      <protection hidden="1"/>
    </xf>
    <xf numFmtId="0" fontId="0" fillId="0" borderId="24" xfId="0" applyFont="1" applyFill="1" applyBorder="1" applyAlignment="1" applyProtection="1">
      <alignment horizontal="left" vertical="center" wrapText="1"/>
      <protection hidden="1"/>
    </xf>
    <xf numFmtId="4" fontId="0" fillId="0" borderId="24" xfId="0" applyNumberFormat="1" applyFont="1" applyFill="1" applyBorder="1" applyAlignment="1" applyProtection="1">
      <alignment horizontal="center" vertical="center"/>
      <protection hidden="1"/>
    </xf>
    <xf numFmtId="10" fontId="0" fillId="0" borderId="65" xfId="102" applyNumberFormat="1" applyFont="1" applyFill="1" applyBorder="1" applyAlignment="1" applyProtection="1">
      <alignment horizontal="center" vertical="center"/>
      <protection hidden="1"/>
    </xf>
    <xf numFmtId="10" fontId="0" fillId="0" borderId="58" xfId="102" applyNumberFormat="1" applyFont="1" applyFill="1" applyBorder="1" applyAlignment="1" applyProtection="1">
      <alignment horizontal="center" vertical="center"/>
      <protection hidden="1"/>
    </xf>
    <xf numFmtId="4" fontId="12" fillId="0" borderId="12" xfId="0" applyNumberFormat="1" applyFont="1" applyFill="1" applyBorder="1" applyAlignment="1" applyProtection="1">
      <alignment horizontal="center" vertical="center"/>
      <protection hidden="1"/>
    </xf>
    <xf numFmtId="4" fontId="12" fillId="0" borderId="26" xfId="0" applyNumberFormat="1" applyFont="1" applyFill="1" applyBorder="1" applyAlignment="1" applyProtection="1">
      <alignment horizontal="center" vertical="center"/>
      <protection hidden="1"/>
    </xf>
    <xf numFmtId="0" fontId="0" fillId="0" borderId="28" xfId="45" applyFont="1" applyFill="1" applyBorder="1" applyAlignment="1" applyProtection="1">
      <alignment horizontal="center" vertical="center" wrapText="1"/>
      <protection hidden="1"/>
    </xf>
    <xf numFmtId="0" fontId="0" fillId="0" borderId="28" xfId="0" applyFont="1" applyFill="1" applyBorder="1" applyAlignment="1" applyProtection="1">
      <alignment horizontal="center" vertical="center"/>
      <protection hidden="1"/>
    </xf>
    <xf numFmtId="0" fontId="0" fillId="0" borderId="28" xfId="0" applyFont="1" applyFill="1" applyBorder="1" applyAlignment="1" applyProtection="1">
      <alignment horizontal="left" vertical="center" wrapText="1"/>
      <protection hidden="1"/>
    </xf>
    <xf numFmtId="4" fontId="0" fillId="0" borderId="28" xfId="0" applyNumberFormat="1" applyFont="1" applyFill="1" applyBorder="1" applyAlignment="1" applyProtection="1">
      <alignment horizontal="center" vertical="center"/>
      <protection hidden="1"/>
    </xf>
    <xf numFmtId="10" fontId="0" fillId="0" borderId="66" xfId="102" applyNumberFormat="1" applyFont="1" applyFill="1" applyBorder="1" applyAlignment="1" applyProtection="1">
      <alignment horizontal="center" vertical="center"/>
      <protection hidden="1"/>
    </xf>
    <xf numFmtId="0" fontId="0" fillId="0" borderId="27" xfId="45" applyFont="1" applyFill="1" applyBorder="1" applyAlignment="1" applyProtection="1">
      <alignment horizontal="center" vertical="center" wrapText="1"/>
      <protection hidden="1"/>
    </xf>
    <xf numFmtId="0" fontId="0" fillId="0" borderId="27" xfId="0" applyFont="1" applyFill="1" applyBorder="1" applyAlignment="1" applyProtection="1">
      <alignment horizontal="center" vertical="center"/>
      <protection hidden="1"/>
    </xf>
    <xf numFmtId="0" fontId="0" fillId="0" borderId="27" xfId="0" applyFont="1" applyFill="1" applyBorder="1" applyAlignment="1" applyProtection="1">
      <alignment horizontal="left" vertical="center" wrapText="1"/>
      <protection hidden="1"/>
    </xf>
    <xf numFmtId="4" fontId="0" fillId="0" borderId="27" xfId="0" applyNumberFormat="1" applyFont="1" applyFill="1" applyBorder="1" applyAlignment="1" applyProtection="1">
      <alignment horizontal="center" vertical="center"/>
      <protection hidden="1"/>
    </xf>
    <xf numFmtId="10" fontId="0" fillId="0" borderId="67" xfId="102" applyNumberFormat="1" applyFont="1" applyFill="1" applyBorder="1" applyAlignment="1" applyProtection="1">
      <alignment horizontal="center" vertical="center"/>
      <protection hidden="1"/>
    </xf>
    <xf numFmtId="0" fontId="0" fillId="0" borderId="22" xfId="0" applyFont="1" applyFill="1" applyBorder="1" applyAlignment="1" applyProtection="1">
      <alignment horizontal="center" vertical="center"/>
      <protection hidden="1"/>
    </xf>
    <xf numFmtId="0" fontId="0" fillId="0" borderId="22" xfId="0" applyFont="1" applyFill="1" applyBorder="1" applyAlignment="1" applyProtection="1">
      <alignment horizontal="left" vertical="center" wrapText="1"/>
      <protection hidden="1"/>
    </xf>
    <xf numFmtId="4" fontId="0" fillId="0" borderId="22" xfId="0" applyNumberFormat="1" applyFont="1" applyFill="1" applyBorder="1" applyAlignment="1" applyProtection="1">
      <alignment horizontal="center" vertical="center"/>
      <protection hidden="1"/>
    </xf>
    <xf numFmtId="4" fontId="0" fillId="0" borderId="22" xfId="45" applyNumberFormat="1" applyFont="1" applyFill="1" applyBorder="1" applyAlignment="1" applyProtection="1">
      <alignment horizontal="center" vertical="center" wrapText="1"/>
      <protection hidden="1"/>
    </xf>
    <xf numFmtId="10" fontId="0" fillId="0" borderId="68" xfId="102" applyNumberFormat="1" applyFont="1" applyFill="1" applyBorder="1" applyAlignment="1" applyProtection="1">
      <alignment horizontal="center" vertical="center"/>
      <protection hidden="1"/>
    </xf>
    <xf numFmtId="10" fontId="0" fillId="0" borderId="62" xfId="102" applyNumberFormat="1" applyFont="1" applyFill="1" applyBorder="1" applyAlignment="1" applyProtection="1">
      <alignment horizontal="center" vertical="center"/>
      <protection hidden="1"/>
    </xf>
    <xf numFmtId="0" fontId="0" fillId="0" borderId="14" xfId="0" applyFont="1" applyFill="1" applyBorder="1" applyAlignment="1" applyProtection="1">
      <alignment horizontal="center" vertical="center"/>
      <protection hidden="1"/>
    </xf>
    <xf numFmtId="0" fontId="0" fillId="0" borderId="14" xfId="0" applyFont="1" applyFill="1" applyBorder="1" applyAlignment="1" applyProtection="1">
      <alignment horizontal="left" vertical="center" wrapText="1"/>
      <protection hidden="1"/>
    </xf>
    <xf numFmtId="4" fontId="0" fillId="0" borderId="14" xfId="0" applyNumberFormat="1" applyFont="1" applyFill="1" applyBorder="1" applyAlignment="1" applyProtection="1">
      <alignment horizontal="center" vertical="center"/>
      <protection hidden="1"/>
    </xf>
    <xf numFmtId="4" fontId="0" fillId="0" borderId="14" xfId="99" applyNumberFormat="1" applyFont="1" applyFill="1" applyBorder="1" applyAlignment="1" applyProtection="1">
      <alignment horizontal="center" vertical="center"/>
      <protection hidden="1"/>
    </xf>
    <xf numFmtId="10" fontId="0" fillId="0" borderId="69" xfId="102" applyNumberFormat="1" applyFont="1" applyFill="1" applyBorder="1" applyAlignment="1" applyProtection="1">
      <alignment horizontal="center" vertical="center"/>
      <protection hidden="1"/>
    </xf>
    <xf numFmtId="0" fontId="3" fillId="0" borderId="70" xfId="45" applyFont="1" applyBorder="1" applyAlignment="1" applyProtection="1">
      <alignment horizontal="center" vertical="center"/>
      <protection hidden="1"/>
    </xf>
    <xf numFmtId="0" fontId="3" fillId="0" borderId="71" xfId="45" applyFont="1" applyBorder="1" applyAlignment="1" applyProtection="1">
      <alignment horizontal="center" vertical="center"/>
      <protection hidden="1"/>
    </xf>
    <xf numFmtId="0" fontId="3" fillId="0" borderId="43" xfId="45" applyFont="1" applyFill="1" applyBorder="1" applyAlignment="1" applyProtection="1">
      <alignment horizontal="center" vertical="center" wrapText="1"/>
      <protection hidden="1"/>
    </xf>
    <xf numFmtId="0" fontId="3" fillId="0" borderId="43" xfId="45" applyFont="1" applyFill="1" applyBorder="1" applyAlignment="1" applyProtection="1">
      <alignment horizontal="left" vertical="center" wrapText="1"/>
      <protection hidden="1"/>
    </xf>
    <xf numFmtId="166" fontId="3" fillId="0" borderId="43" xfId="49" applyFont="1" applyFill="1" applyBorder="1" applyAlignment="1" applyProtection="1">
      <alignment horizontal="centerContinuous" vertical="center"/>
      <protection hidden="1"/>
    </xf>
    <xf numFmtId="10" fontId="3" fillId="0" borderId="72" xfId="102" applyNumberFormat="1" applyFont="1" applyFill="1" applyBorder="1" applyAlignment="1" applyProtection="1">
      <alignment horizontal="center" vertical="center" wrapText="1"/>
      <protection hidden="1"/>
    </xf>
    <xf numFmtId="0" fontId="0" fillId="0" borderId="20" xfId="0" applyFont="1" applyFill="1" applyBorder="1" applyAlignment="1" applyProtection="1">
      <alignment horizontal="center" vertical="center"/>
      <protection hidden="1"/>
    </xf>
    <xf numFmtId="0" fontId="0" fillId="0" borderId="20" xfId="0" applyFont="1" applyFill="1" applyBorder="1" applyAlignment="1" applyProtection="1">
      <alignment horizontal="left" vertical="center" wrapText="1"/>
      <protection hidden="1"/>
    </xf>
    <xf numFmtId="4" fontId="0" fillId="0" borderId="20" xfId="0" applyNumberFormat="1" applyFont="1" applyFill="1" applyBorder="1" applyAlignment="1" applyProtection="1">
      <alignment horizontal="center" vertical="center"/>
      <protection hidden="1"/>
    </xf>
    <xf numFmtId="4" fontId="0" fillId="0" borderId="20" xfId="99" applyNumberFormat="1" applyFont="1" applyFill="1" applyBorder="1" applyAlignment="1" applyProtection="1">
      <alignment horizontal="center" vertical="center"/>
      <protection hidden="1"/>
    </xf>
    <xf numFmtId="10" fontId="0" fillId="0" borderId="73" xfId="102" applyNumberFormat="1" applyFont="1" applyFill="1" applyBorder="1" applyAlignment="1" applyProtection="1">
      <alignment horizontal="center" vertical="center"/>
      <protection hidden="1"/>
    </xf>
    <xf numFmtId="0" fontId="68" fillId="34" borderId="52" xfId="45" applyFont="1" applyFill="1" applyBorder="1" applyAlignment="1" applyProtection="1">
      <alignment vertical="center"/>
      <protection hidden="1"/>
    </xf>
    <xf numFmtId="0" fontId="68" fillId="34" borderId="53" xfId="45" applyFont="1" applyFill="1" applyBorder="1" applyAlignment="1" applyProtection="1">
      <alignment vertical="center"/>
      <protection hidden="1"/>
    </xf>
    <xf numFmtId="0" fontId="68" fillId="34" borderId="38" xfId="45" applyFont="1" applyFill="1" applyBorder="1" applyAlignment="1" applyProtection="1">
      <alignment horizontal="left" vertical="center"/>
      <protection hidden="1"/>
    </xf>
    <xf numFmtId="0" fontId="68" fillId="34" borderId="38" xfId="45" applyFont="1" applyFill="1" applyBorder="1" applyAlignment="1" applyProtection="1">
      <alignment horizontal="center" vertical="center"/>
      <protection hidden="1"/>
    </xf>
    <xf numFmtId="4" fontId="68" fillId="35" borderId="44" xfId="45" applyNumberFormat="1" applyFont="1" applyFill="1" applyBorder="1" applyAlignment="1" applyProtection="1">
      <alignment horizontal="center" vertical="center"/>
      <protection hidden="1"/>
    </xf>
    <xf numFmtId="171" fontId="68" fillId="34" borderId="74" xfId="49" applyNumberFormat="1" applyFont="1" applyFill="1" applyBorder="1" applyAlignment="1" applyProtection="1">
      <alignment horizontal="center" vertical="center"/>
      <protection hidden="1"/>
    </xf>
    <xf numFmtId="9" fontId="69" fillId="34" borderId="54" xfId="45" applyNumberFormat="1" applyFont="1" applyFill="1" applyBorder="1" applyAlignment="1" applyProtection="1">
      <alignment horizontal="center" vertical="center" wrapText="1"/>
      <protection hidden="1"/>
    </xf>
    <xf numFmtId="0" fontId="3" fillId="0" borderId="34" xfId="45" applyFont="1" applyFill="1" applyBorder="1" applyAlignment="1" applyProtection="1">
      <alignment horizontal="center" vertical="center" wrapText="1"/>
      <protection hidden="1"/>
    </xf>
    <xf numFmtId="0" fontId="13" fillId="0" borderId="0" xfId="45" applyFont="1" applyFill="1" applyAlignment="1" applyProtection="1">
      <alignment horizontal="centerContinuous" vertical="center"/>
      <protection hidden="1"/>
    </xf>
    <xf numFmtId="0" fontId="13" fillId="0" borderId="0" xfId="45" applyFont="1" applyAlignment="1" applyProtection="1">
      <alignment horizontal="right" vertical="center"/>
      <protection hidden="1"/>
    </xf>
    <xf numFmtId="10" fontId="13" fillId="0" borderId="0" xfId="45" applyNumberFormat="1" applyFont="1" applyAlignment="1" applyProtection="1">
      <alignment horizontal="center" vertical="center"/>
      <protection hidden="1"/>
    </xf>
    <xf numFmtId="0" fontId="2" fillId="0" borderId="0" xfId="45" applyFont="1" applyBorder="1" applyAlignment="1" applyProtection="1">
      <alignment vertical="center"/>
      <protection locked="0"/>
    </xf>
    <xf numFmtId="0" fontId="0" fillId="0" borderId="0" xfId="45" applyFont="1" applyAlignment="1" applyProtection="1">
      <alignment vertical="center"/>
      <protection locked="0"/>
    </xf>
    <xf numFmtId="0" fontId="3" fillId="0" borderId="0" xfId="45" applyFont="1" applyAlignment="1" applyProtection="1">
      <alignment vertical="center"/>
      <protection locked="0"/>
    </xf>
    <xf numFmtId="0" fontId="3" fillId="0" borderId="0" xfId="45" applyFont="1" applyAlignment="1" applyProtection="1">
      <alignment horizontal="center" vertical="center"/>
      <protection locked="0"/>
    </xf>
    <xf numFmtId="0" fontId="6" fillId="0" borderId="0" xfId="45" applyFont="1" applyBorder="1" applyAlignment="1" applyProtection="1">
      <alignment vertical="center"/>
      <protection locked="0"/>
    </xf>
    <xf numFmtId="0" fontId="3" fillId="0" borderId="0" xfId="45" applyFont="1" applyBorder="1" applyAlignment="1" applyProtection="1">
      <alignment vertical="center" wrapText="1"/>
      <protection locked="0"/>
    </xf>
    <xf numFmtId="0" fontId="8" fillId="0" borderId="0" xfId="45" applyFont="1" applyAlignment="1" applyProtection="1">
      <alignment vertical="center"/>
      <protection locked="0"/>
    </xf>
    <xf numFmtId="0" fontId="0" fillId="0" borderId="0" xfId="45" applyProtection="1">
      <alignment/>
      <protection locked="0"/>
    </xf>
    <xf numFmtId="10" fontId="0" fillId="0" borderId="75" xfId="68" applyNumberFormat="1" applyFill="1" applyBorder="1" applyAlignment="1" applyProtection="1">
      <alignment horizontal="center" vertical="center"/>
      <protection locked="0"/>
    </xf>
    <xf numFmtId="10" fontId="0" fillId="0" borderId="76" xfId="68" applyNumberFormat="1" applyFill="1" applyBorder="1" applyAlignment="1" applyProtection="1">
      <alignment horizontal="center" vertical="center"/>
      <protection locked="0"/>
    </xf>
    <xf numFmtId="10" fontId="0" fillId="0" borderId="77" xfId="68" applyNumberFormat="1" applyFill="1" applyBorder="1" applyAlignment="1" applyProtection="1">
      <alignment horizontal="center" vertical="center"/>
      <protection locked="0"/>
    </xf>
    <xf numFmtId="0" fontId="0" fillId="0" borderId="0" xfId="45" applyBorder="1" applyProtection="1">
      <alignment/>
      <protection locked="0"/>
    </xf>
    <xf numFmtId="0" fontId="0" fillId="0" borderId="0" xfId="45" applyFont="1" applyAlignment="1" applyProtection="1">
      <alignment horizontal="left" vertical="center"/>
      <protection locked="0"/>
    </xf>
    <xf numFmtId="0" fontId="10" fillId="0" borderId="0" xfId="45" applyFont="1" applyAlignment="1" applyProtection="1">
      <alignment horizontal="left" vertical="center"/>
      <protection locked="0"/>
    </xf>
    <xf numFmtId="0" fontId="0" fillId="0" borderId="0" xfId="45" applyAlignment="1" applyProtection="1">
      <alignment vertical="center"/>
      <protection locked="0"/>
    </xf>
    <xf numFmtId="0" fontId="13" fillId="0" borderId="0" xfId="45" applyFont="1" applyAlignment="1" applyProtection="1">
      <alignment/>
      <protection locked="0"/>
    </xf>
    <xf numFmtId="10" fontId="0" fillId="0" borderId="0" xfId="45" applyNumberFormat="1" applyAlignment="1" applyProtection="1">
      <alignment vertical="center"/>
      <protection locked="0"/>
    </xf>
    <xf numFmtId="0" fontId="4" fillId="0" borderId="0" xfId="45" applyFont="1" applyBorder="1" applyAlignment="1" applyProtection="1">
      <alignment/>
      <protection locked="0"/>
    </xf>
    <xf numFmtId="0" fontId="13" fillId="0" borderId="0" xfId="45" applyFont="1" applyBorder="1" applyAlignment="1" applyProtection="1">
      <alignment/>
      <protection locked="0"/>
    </xf>
    <xf numFmtId="10" fontId="0" fillId="0" borderId="0" xfId="45" applyNumberFormat="1" applyBorder="1" applyAlignment="1" applyProtection="1">
      <alignment/>
      <protection locked="0"/>
    </xf>
    <xf numFmtId="0" fontId="0" fillId="0" borderId="0" xfId="45" applyFont="1" applyBorder="1" applyAlignment="1" applyProtection="1">
      <alignment horizontal="center" vertical="center"/>
      <protection locked="0"/>
    </xf>
    <xf numFmtId="0" fontId="3" fillId="0" borderId="33" xfId="45" applyFont="1" applyBorder="1" applyAlignment="1" applyProtection="1">
      <alignment vertical="center" wrapText="1"/>
      <protection hidden="1"/>
    </xf>
    <xf numFmtId="0" fontId="3" fillId="0" borderId="34" xfId="45" applyFont="1" applyBorder="1" applyAlignment="1" applyProtection="1">
      <alignment vertical="center" wrapText="1"/>
      <protection hidden="1"/>
    </xf>
    <xf numFmtId="0" fontId="0" fillId="0" borderId="34" xfId="45" applyFont="1" applyBorder="1" applyAlignment="1" applyProtection="1">
      <alignment vertical="center"/>
      <protection hidden="1"/>
    </xf>
    <xf numFmtId="0" fontId="0" fillId="0" borderId="45" xfId="45" applyFont="1" applyBorder="1" applyAlignment="1" applyProtection="1">
      <alignment vertical="center"/>
      <protection hidden="1"/>
    </xf>
    <xf numFmtId="0" fontId="0" fillId="0" borderId="0" xfId="45" applyFont="1" applyBorder="1" applyAlignment="1" applyProtection="1">
      <alignment vertical="center"/>
      <protection hidden="1"/>
    </xf>
    <xf numFmtId="0" fontId="4" fillId="0" borderId="0" xfId="45" applyFont="1" applyBorder="1" applyAlignment="1" applyProtection="1">
      <alignment horizontal="left" vertical="center" wrapText="1"/>
      <protection hidden="1"/>
    </xf>
    <xf numFmtId="0" fontId="4" fillId="0" borderId="0" xfId="45" applyFont="1" applyBorder="1" applyAlignment="1" applyProtection="1">
      <alignment horizontal="right" vertical="center" wrapText="1"/>
      <protection hidden="1"/>
    </xf>
    <xf numFmtId="178" fontId="4" fillId="0" borderId="0" xfId="45" applyNumberFormat="1" applyFont="1" applyBorder="1" applyAlignment="1" applyProtection="1">
      <alignment horizontal="center" vertical="center" wrapText="1"/>
      <protection hidden="1"/>
    </xf>
    <xf numFmtId="178" fontId="4" fillId="0" borderId="36" xfId="45" applyNumberFormat="1" applyFont="1" applyBorder="1" applyAlignment="1" applyProtection="1">
      <alignment horizontal="center" vertical="center" wrapText="1"/>
      <protection hidden="1"/>
    </xf>
    <xf numFmtId="0" fontId="6" fillId="0" borderId="0" xfId="45" applyFont="1" applyBorder="1" applyAlignment="1" applyProtection="1">
      <alignment vertical="center"/>
      <protection hidden="1"/>
    </xf>
    <xf numFmtId="0" fontId="6" fillId="0" borderId="35" xfId="45" applyFont="1" applyBorder="1" applyAlignment="1" applyProtection="1">
      <alignment vertical="center"/>
      <protection hidden="1"/>
    </xf>
    <xf numFmtId="0" fontId="4" fillId="0" borderId="0" xfId="45" applyFont="1" applyBorder="1" applyAlignment="1" applyProtection="1">
      <alignment vertical="center" wrapText="1"/>
      <protection hidden="1"/>
    </xf>
    <xf numFmtId="0" fontId="6" fillId="0" borderId="0" xfId="45" applyFont="1" applyBorder="1" applyAlignment="1" applyProtection="1">
      <alignment horizontal="right" vertical="center"/>
      <protection hidden="1"/>
    </xf>
    <xf numFmtId="0" fontId="4" fillId="0" borderId="0" xfId="45" applyFont="1" applyBorder="1" applyAlignment="1" applyProtection="1">
      <alignment horizontal="right" vertical="center" wrapText="1"/>
      <protection hidden="1"/>
    </xf>
    <xf numFmtId="0" fontId="4" fillId="0" borderId="0" xfId="45" applyFont="1" applyBorder="1" applyAlignment="1" applyProtection="1">
      <alignment horizontal="right" vertical="center"/>
      <protection hidden="1"/>
    </xf>
    <xf numFmtId="183" fontId="4" fillId="0" borderId="0" xfId="49" applyNumberFormat="1" applyFont="1" applyBorder="1" applyAlignment="1" applyProtection="1">
      <alignment horizontal="center" vertical="center"/>
      <protection hidden="1"/>
    </xf>
    <xf numFmtId="183" fontId="4" fillId="0" borderId="36" xfId="49" applyNumberFormat="1" applyFont="1" applyBorder="1" applyAlignment="1" applyProtection="1">
      <alignment horizontal="center" vertical="center"/>
      <protection hidden="1"/>
    </xf>
    <xf numFmtId="181" fontId="4" fillId="0" borderId="0" xfId="49" applyNumberFormat="1" applyFont="1" applyBorder="1" applyAlignment="1" applyProtection="1">
      <alignment horizontal="center" vertical="center"/>
      <protection hidden="1"/>
    </xf>
    <xf numFmtId="181" fontId="4" fillId="0" borderId="36" xfId="49" applyNumberFormat="1" applyFont="1" applyBorder="1" applyAlignment="1" applyProtection="1">
      <alignment horizontal="center" vertical="center"/>
      <protection hidden="1"/>
    </xf>
    <xf numFmtId="0" fontId="3" fillId="0" borderId="46" xfId="45" applyFont="1" applyBorder="1" applyAlignment="1" applyProtection="1">
      <alignment vertical="center"/>
      <protection hidden="1"/>
    </xf>
    <xf numFmtId="0" fontId="3" fillId="0" borderId="47" xfId="45" applyFont="1" applyBorder="1" applyAlignment="1" applyProtection="1">
      <alignment vertical="center"/>
      <protection hidden="1"/>
    </xf>
    <xf numFmtId="0" fontId="0" fillId="0" borderId="47" xfId="45" applyFont="1" applyBorder="1" applyAlignment="1" applyProtection="1">
      <alignment vertical="center"/>
      <protection hidden="1"/>
    </xf>
    <xf numFmtId="0" fontId="0" fillId="0" borderId="48" xfId="45" applyFont="1" applyBorder="1" applyAlignment="1" applyProtection="1">
      <alignment vertical="center"/>
      <protection hidden="1"/>
    </xf>
    <xf numFmtId="0" fontId="3" fillId="0" borderId="78" xfId="45" applyFont="1" applyBorder="1" applyAlignment="1" applyProtection="1">
      <alignment vertical="center" wrapText="1"/>
      <protection hidden="1"/>
    </xf>
    <xf numFmtId="0" fontId="3" fillId="0" borderId="0" xfId="45" applyFont="1" applyBorder="1" applyAlignment="1" applyProtection="1">
      <alignment vertical="center" wrapText="1"/>
      <protection hidden="1"/>
    </xf>
    <xf numFmtId="0" fontId="68" fillId="34" borderId="79" xfId="68" applyFont="1" applyFill="1" applyBorder="1" applyAlignment="1" applyProtection="1">
      <alignment horizontal="center" vertical="center"/>
      <protection hidden="1"/>
    </xf>
    <xf numFmtId="0" fontId="72" fillId="34" borderId="80" xfId="68" applyFont="1" applyFill="1" applyBorder="1" applyAlignment="1" applyProtection="1">
      <alignment horizontal="center" vertical="center"/>
      <protection hidden="1"/>
    </xf>
    <xf numFmtId="0" fontId="68" fillId="34" borderId="81" xfId="68" applyFont="1" applyFill="1" applyBorder="1" applyAlignment="1" applyProtection="1">
      <alignment horizontal="center" vertical="center"/>
      <protection hidden="1"/>
    </xf>
    <xf numFmtId="182" fontId="68" fillId="34" borderId="37" xfId="68" applyNumberFormat="1" applyFont="1" applyFill="1" applyBorder="1" applyAlignment="1" applyProtection="1">
      <alignment horizontal="center" vertical="center"/>
      <protection hidden="1"/>
    </xf>
    <xf numFmtId="0" fontId="8" fillId="0" borderId="0" xfId="45" applyFont="1" applyAlignment="1" applyProtection="1">
      <alignment vertical="center"/>
      <protection hidden="1"/>
    </xf>
    <xf numFmtId="0" fontId="68" fillId="34" borderId="82" xfId="68" applyFont="1" applyFill="1" applyBorder="1" applyAlignment="1" applyProtection="1">
      <alignment horizontal="center" vertical="center"/>
      <protection hidden="1"/>
    </xf>
    <xf numFmtId="0" fontId="0" fillId="0" borderId="83" xfId="0" applyBorder="1" applyAlignment="1" applyProtection="1">
      <alignment horizontal="center" vertical="center"/>
      <protection hidden="1"/>
    </xf>
    <xf numFmtId="0" fontId="16" fillId="0" borderId="84" xfId="68" applyFont="1" applyBorder="1" applyAlignment="1" applyProtection="1">
      <alignment vertical="center"/>
      <protection hidden="1"/>
    </xf>
    <xf numFmtId="0" fontId="0" fillId="0" borderId="84" xfId="45" applyBorder="1" applyProtection="1">
      <alignment/>
      <protection hidden="1"/>
    </xf>
    <xf numFmtId="0" fontId="0" fillId="0" borderId="0" xfId="45" applyProtection="1">
      <alignment/>
      <protection hidden="1"/>
    </xf>
    <xf numFmtId="170" fontId="9" fillId="0" borderId="11" xfId="45" applyNumberFormat="1" applyFont="1" applyFill="1" applyBorder="1" applyAlignment="1" applyProtection="1">
      <alignment horizontal="center" vertical="center" wrapText="1"/>
      <protection hidden="1"/>
    </xf>
    <xf numFmtId="10" fontId="4" fillId="0" borderId="37" xfId="68" applyNumberFormat="1" applyFont="1" applyBorder="1" applyAlignment="1" applyProtection="1">
      <alignment horizontal="center" vertical="center"/>
      <protection hidden="1"/>
    </xf>
    <xf numFmtId="172" fontId="4" fillId="0" borderId="37" xfId="68" applyNumberFormat="1" applyFont="1" applyBorder="1" applyAlignment="1" applyProtection="1">
      <alignment horizontal="center" vertical="center"/>
      <protection hidden="1"/>
    </xf>
    <xf numFmtId="10" fontId="0" fillId="0" borderId="0" xfId="45" applyNumberFormat="1" applyProtection="1">
      <alignment/>
      <protection hidden="1"/>
    </xf>
    <xf numFmtId="170" fontId="9" fillId="0" borderId="85" xfId="45" applyNumberFormat="1" applyFont="1" applyFill="1" applyBorder="1" applyAlignment="1" applyProtection="1">
      <alignment horizontal="center" vertical="center" wrapText="1"/>
      <protection hidden="1"/>
    </xf>
    <xf numFmtId="10" fontId="4" fillId="0" borderId="86" xfId="68" applyNumberFormat="1" applyFont="1" applyBorder="1" applyAlignment="1" applyProtection="1">
      <alignment horizontal="center" vertical="center"/>
      <protection hidden="1"/>
    </xf>
    <xf numFmtId="172" fontId="4" fillId="0" borderId="86" xfId="68" applyNumberFormat="1" applyFont="1" applyBorder="1" applyAlignment="1" applyProtection="1">
      <alignment horizontal="center" vertical="center"/>
      <protection hidden="1"/>
    </xf>
    <xf numFmtId="179" fontId="10" fillId="39" borderId="87" xfId="54" applyNumberFormat="1" applyFont="1" applyFill="1" applyBorder="1" applyAlignment="1" applyProtection="1">
      <alignment horizontal="center" vertical="center"/>
      <protection hidden="1"/>
    </xf>
    <xf numFmtId="179" fontId="10" fillId="39" borderId="20" xfId="54" applyNumberFormat="1" applyFont="1" applyFill="1" applyBorder="1" applyAlignment="1" applyProtection="1">
      <alignment horizontal="center" vertical="center"/>
      <protection hidden="1"/>
    </xf>
    <xf numFmtId="179" fontId="10" fillId="39" borderId="88" xfId="54" applyNumberFormat="1" applyFont="1" applyFill="1" applyBorder="1" applyAlignment="1" applyProtection="1">
      <alignment horizontal="center" vertical="center"/>
      <protection hidden="1"/>
    </xf>
    <xf numFmtId="179" fontId="0" fillId="0" borderId="0" xfId="45" applyNumberFormat="1" applyProtection="1">
      <alignment/>
      <protection hidden="1"/>
    </xf>
    <xf numFmtId="49" fontId="3" fillId="0" borderId="78" xfId="68" applyNumberFormat="1" applyFont="1" applyBorder="1" applyAlignment="1" applyProtection="1">
      <alignment horizontal="center"/>
      <protection hidden="1"/>
    </xf>
    <xf numFmtId="0" fontId="9" fillId="0" borderId="78" xfId="68" applyFont="1" applyBorder="1" applyAlignment="1" applyProtection="1">
      <alignment horizontal="center"/>
      <protection hidden="1"/>
    </xf>
    <xf numFmtId="10" fontId="4" fillId="0" borderId="78" xfId="68" applyNumberFormat="1" applyFont="1" applyBorder="1" applyAlignment="1" applyProtection="1">
      <alignment horizontal="center" vertical="center"/>
      <protection hidden="1"/>
    </xf>
    <xf numFmtId="10" fontId="4" fillId="0" borderId="78" xfId="68" applyNumberFormat="1" applyFont="1" applyBorder="1" applyAlignment="1" applyProtection="1">
      <alignment horizontal="center"/>
      <protection hidden="1"/>
    </xf>
    <xf numFmtId="166" fontId="5" fillId="0" borderId="89" xfId="51" applyFont="1" applyFill="1" applyBorder="1" applyAlignment="1" applyProtection="1">
      <alignment horizontal="center" vertical="center"/>
      <protection hidden="1"/>
    </xf>
    <xf numFmtId="166" fontId="5" fillId="0" borderId="90" xfId="51" applyFont="1" applyFill="1" applyBorder="1" applyAlignment="1" applyProtection="1">
      <alignment horizontal="center" vertical="center"/>
      <protection hidden="1"/>
    </xf>
    <xf numFmtId="9" fontId="5" fillId="0" borderId="91" xfId="68" applyNumberFormat="1" applyFont="1" applyBorder="1" applyAlignment="1" applyProtection="1">
      <alignment horizontal="center" vertical="center"/>
      <protection hidden="1"/>
    </xf>
    <xf numFmtId="166" fontId="5" fillId="0" borderId="92" xfId="49" applyFont="1" applyFill="1" applyBorder="1" applyAlignment="1" applyProtection="1">
      <alignment horizontal="center" vertical="center"/>
      <protection hidden="1"/>
    </xf>
    <xf numFmtId="166" fontId="17" fillId="0" borderId="93" xfId="49" applyNumberFormat="1" applyFont="1" applyFill="1" applyBorder="1" applyAlignment="1" applyProtection="1">
      <alignment horizontal="center" vertical="center"/>
      <protection hidden="1"/>
    </xf>
    <xf numFmtId="0" fontId="68" fillId="34" borderId="89" xfId="68" applyFont="1" applyFill="1" applyBorder="1" applyAlignment="1" applyProtection="1">
      <alignment horizontal="center" vertical="center"/>
      <protection hidden="1"/>
    </xf>
    <xf numFmtId="0" fontId="68" fillId="34" borderId="90" xfId="68" applyFont="1" applyFill="1" applyBorder="1" applyAlignment="1" applyProtection="1">
      <alignment horizontal="center" vertical="center"/>
      <protection hidden="1"/>
    </xf>
    <xf numFmtId="9" fontId="68" fillId="34" borderId="94" xfId="68" applyNumberFormat="1" applyFont="1" applyFill="1" applyBorder="1" applyAlignment="1" applyProtection="1">
      <alignment horizontal="center" vertical="center"/>
      <protection hidden="1"/>
    </xf>
    <xf numFmtId="166" fontId="68" fillId="34" borderId="92" xfId="49" applyFont="1" applyFill="1" applyBorder="1" applyAlignment="1" applyProtection="1">
      <alignment horizontal="center" vertical="center"/>
      <protection hidden="1"/>
    </xf>
    <xf numFmtId="166" fontId="73" fillId="34" borderId="90" xfId="49" applyNumberFormat="1" applyFont="1" applyFill="1" applyBorder="1" applyAlignment="1" applyProtection="1">
      <alignment horizontal="center" vertical="center"/>
      <protection hidden="1"/>
    </xf>
    <xf numFmtId="166" fontId="73" fillId="34" borderId="92" xfId="49" applyNumberFormat="1" applyFont="1" applyFill="1" applyBorder="1" applyAlignment="1" applyProtection="1">
      <alignment horizontal="center" vertical="center"/>
      <protection hidden="1"/>
    </xf>
    <xf numFmtId="0" fontId="68" fillId="34" borderId="95" xfId="68" applyFont="1" applyFill="1" applyBorder="1" applyAlignment="1" applyProtection="1">
      <alignment horizontal="center" vertical="center"/>
      <protection hidden="1"/>
    </xf>
    <xf numFmtId="0" fontId="68" fillId="34" borderId="96" xfId="68" applyFont="1" applyFill="1" applyBorder="1" applyAlignment="1" applyProtection="1">
      <alignment horizontal="center" vertical="center"/>
      <protection hidden="1"/>
    </xf>
    <xf numFmtId="9" fontId="68" fillId="34" borderId="97" xfId="68" applyNumberFormat="1" applyFont="1" applyFill="1" applyBorder="1" applyAlignment="1" applyProtection="1">
      <alignment horizontal="center" vertical="center"/>
      <protection hidden="1"/>
    </xf>
    <xf numFmtId="166" fontId="68" fillId="34" borderId="98" xfId="49" applyFont="1" applyFill="1" applyBorder="1" applyAlignment="1" applyProtection="1">
      <alignment horizontal="center" vertical="center"/>
      <protection hidden="1"/>
    </xf>
    <xf numFmtId="166" fontId="73" fillId="34" borderId="96" xfId="49" applyNumberFormat="1" applyFont="1" applyFill="1" applyBorder="1" applyAlignment="1" applyProtection="1">
      <alignment horizontal="center" vertical="center"/>
      <protection hidden="1"/>
    </xf>
    <xf numFmtId="166" fontId="73" fillId="34" borderId="98" xfId="49" applyNumberFormat="1" applyFont="1" applyFill="1" applyBorder="1" applyAlignment="1" applyProtection="1">
      <alignment horizontal="center" vertical="center"/>
      <protection hidden="1"/>
    </xf>
  </cellXfs>
  <cellStyles count="116">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72929" xfId="33"/>
    <cellStyle name="Bom" xfId="34"/>
    <cellStyle name="Cálculo" xfId="35"/>
    <cellStyle name="Célula de Verificação" xfId="36"/>
    <cellStyle name="Célula Vinculada" xfId="37"/>
    <cellStyle name="Ênfase1" xfId="38"/>
    <cellStyle name="Ênfase2" xfId="39"/>
    <cellStyle name="Ênfase3" xfId="40"/>
    <cellStyle name="Ênfase4" xfId="41"/>
    <cellStyle name="Ênfase5" xfId="42"/>
    <cellStyle name="Ênfase6" xfId="43"/>
    <cellStyle name="Entrada" xfId="44"/>
    <cellStyle name="Excel Built-in Normal" xfId="45"/>
    <cellStyle name="Hyperlink" xfId="46"/>
    <cellStyle name="Followed Hyperlink" xfId="47"/>
    <cellStyle name="Incorreto" xfId="48"/>
    <cellStyle name="Currency" xfId="49"/>
    <cellStyle name="Currency [0]" xfId="50"/>
    <cellStyle name="Moeda 2" xfId="51"/>
    <cellStyle name="Moeda 2 2" xfId="52"/>
    <cellStyle name="Moeda 2 3" xfId="53"/>
    <cellStyle name="Moeda 3" xfId="54"/>
    <cellStyle name="Moeda 3 2" xfId="55"/>
    <cellStyle name="Moeda 3 2 2" xfId="56"/>
    <cellStyle name="Moeda 3 2 3" xfId="57"/>
    <cellStyle name="Moeda 4" xfId="58"/>
    <cellStyle name="Moeda 5" xfId="59"/>
    <cellStyle name="Moeda 6" xfId="60"/>
    <cellStyle name="Neutra" xfId="61"/>
    <cellStyle name="Normal 10" xfId="62"/>
    <cellStyle name="Normal 10 2" xfId="63"/>
    <cellStyle name="Normal 10 3" xfId="64"/>
    <cellStyle name="Normal 10 4" xfId="65"/>
    <cellStyle name="Normal 11" xfId="66"/>
    <cellStyle name="Normal 12" xfId="67"/>
    <cellStyle name="Normal 2" xfId="68"/>
    <cellStyle name="Normal 2 2" xfId="69"/>
    <cellStyle name="Normal 2 3" xfId="70"/>
    <cellStyle name="Normal 2 4" xfId="71"/>
    <cellStyle name="Normal 2 4 2" xfId="72"/>
    <cellStyle name="Normal 2 4 3" xfId="73"/>
    <cellStyle name="Normal 2 5" xfId="74"/>
    <cellStyle name="Normal 2 5 2" xfId="75"/>
    <cellStyle name="Normal 2 5 3" xfId="76"/>
    <cellStyle name="Normal 2 5 4" xfId="77"/>
    <cellStyle name="Normal 2 5 4 2" xfId="78"/>
    <cellStyle name="Normal 3" xfId="79"/>
    <cellStyle name="Normal 3 2" xfId="80"/>
    <cellStyle name="Normal 3 3" xfId="81"/>
    <cellStyle name="Normal 4" xfId="82"/>
    <cellStyle name="Normal 4 2" xfId="83"/>
    <cellStyle name="Normal 4 3" xfId="84"/>
    <cellStyle name="Normal 4 3 2" xfId="85"/>
    <cellStyle name="Normal 4 3 3" xfId="86"/>
    <cellStyle name="Normal 4 4" xfId="87"/>
    <cellStyle name="Normal 4 4 2" xfId="88"/>
    <cellStyle name="Normal 5" xfId="89"/>
    <cellStyle name="Normal 5 2" xfId="90"/>
    <cellStyle name="Normal 6" xfId="91"/>
    <cellStyle name="Normal 7" xfId="92"/>
    <cellStyle name="Normal 8" xfId="93"/>
    <cellStyle name="Normal 8 2" xfId="94"/>
    <cellStyle name="Normal 8 3" xfId="95"/>
    <cellStyle name="Normal 9" xfId="96"/>
    <cellStyle name="Normal 9 2" xfId="97"/>
    <cellStyle name="Normal 9 3" xfId="98"/>
    <cellStyle name="Normal_Orçamento RETIFICADO DA OBRA JUNHO - CERTO" xfId="99"/>
    <cellStyle name="Nota" xfId="100"/>
    <cellStyle name="planilhas" xfId="101"/>
    <cellStyle name="Percent" xfId="102"/>
    <cellStyle name="Porcentagem 2" xfId="103"/>
    <cellStyle name="Porcentagem 2 2" xfId="104"/>
    <cellStyle name="Porcentagem 2 3" xfId="105"/>
    <cellStyle name="Porcentagem 3" xfId="106"/>
    <cellStyle name="Saída" xfId="107"/>
    <cellStyle name="Comma [0]" xfId="108"/>
    <cellStyle name="Separador de milhares 2" xfId="109"/>
    <cellStyle name="Separador de milhares 3" xfId="110"/>
    <cellStyle name="Separador de milhares 3 2" xfId="111"/>
    <cellStyle name="Separador de milhares 3 3" xfId="112"/>
    <cellStyle name="Separador de milhares 3 4" xfId="113"/>
    <cellStyle name="Separador de milhares 4" xfId="114"/>
    <cellStyle name="SNEVERS" xfId="115"/>
    <cellStyle name="Texto de Aviso" xfId="116"/>
    <cellStyle name="Texto Explicativo" xfId="117"/>
    <cellStyle name="Título" xfId="118"/>
    <cellStyle name="Título 1" xfId="119"/>
    <cellStyle name="Título 2" xfId="120"/>
    <cellStyle name="Título 3" xfId="121"/>
    <cellStyle name="Título 4" xfId="122"/>
    <cellStyle name="Total" xfId="123"/>
    <cellStyle name="Comma" xfId="124"/>
    <cellStyle name="Vírgula 2" xfId="125"/>
    <cellStyle name="Vírgula 2 2" xfId="126"/>
    <cellStyle name="Vírgula 2 3" xfId="127"/>
    <cellStyle name="Vírgula 3" xfId="128"/>
    <cellStyle name="Vírgula 4" xfId="129"/>
  </cellStyles>
  <dxfs count="137">
    <dxf>
      <font>
        <name val="Calibri Light"/>
        <color auto="1"/>
      </font>
      <fill>
        <patternFill patternType="solid">
          <fgColor indexed="9"/>
          <bgColor theme="3" tint="0.5999600291252136"/>
        </patternFill>
      </fill>
    </dxf>
    <dxf>
      <font>
        <b val="0"/>
        <color indexed="9"/>
      </font>
    </dxf>
    <dxf>
      <font>
        <name val="Calibri Light"/>
        <color auto="1"/>
      </font>
      <fill>
        <patternFill patternType="solid">
          <fgColor indexed="9"/>
          <bgColor theme="3" tint="0.5999600291252136"/>
        </patternFill>
      </fill>
    </dxf>
    <dxf>
      <font>
        <b val="0"/>
        <color indexed="9"/>
      </font>
    </dxf>
    <dxf>
      <font>
        <name val="Calibri Light"/>
        <color theme="2" tint="-0.24993999302387238"/>
      </font>
      <fill>
        <patternFill patternType="solid">
          <fgColor indexed="9"/>
          <bgColor theme="0" tint="-0.3499799966812134"/>
        </patternFill>
      </fill>
    </dxf>
    <dxf>
      <font>
        <b val="0"/>
        <color indexed="9"/>
      </font>
    </dxf>
    <dxf>
      <font>
        <name val="Calibri Light"/>
        <color auto="1"/>
      </font>
      <fill>
        <patternFill patternType="solid">
          <fgColor indexed="9"/>
          <bgColor theme="3" tint="0.5999600291252136"/>
        </patternFill>
      </fill>
    </dxf>
    <dxf>
      <font>
        <b val="0"/>
        <color indexed="9"/>
      </font>
    </dxf>
    <dxf>
      <font>
        <name val="Calibri Light"/>
        <color auto="1"/>
      </font>
      <fill>
        <patternFill patternType="solid">
          <fgColor indexed="9"/>
          <bgColor theme="3" tint="0.5999600291252136"/>
        </patternFill>
      </fill>
    </dxf>
    <dxf>
      <font>
        <b val="0"/>
        <color indexed="9"/>
      </font>
    </dxf>
    <dxf>
      <font>
        <name val="Calibri Light"/>
        <color theme="2" tint="-0.24993999302387238"/>
      </font>
      <fill>
        <patternFill patternType="solid">
          <fgColor indexed="9"/>
          <bgColor theme="0" tint="-0.3499799966812134"/>
        </patternFill>
      </fill>
    </dxf>
    <dxf>
      <font>
        <b val="0"/>
        <color indexed="9"/>
      </font>
    </dxf>
    <dxf>
      <font>
        <name val="Calibri Light"/>
        <color theme="2" tint="-0.24993999302387238"/>
      </font>
      <fill>
        <patternFill patternType="solid">
          <fgColor indexed="9"/>
          <bgColor theme="0" tint="-0.3499799966812134"/>
        </patternFill>
      </fill>
    </dxf>
    <dxf>
      <font>
        <b val="0"/>
        <color indexed="9"/>
      </font>
    </dxf>
    <dxf>
      <font>
        <name val="Calibri Light"/>
        <color auto="1"/>
      </font>
      <fill>
        <patternFill patternType="solid">
          <fgColor indexed="9"/>
          <bgColor theme="3" tint="0.5999600291252136"/>
        </patternFill>
      </fill>
    </dxf>
    <dxf>
      <font>
        <b val="0"/>
        <color indexed="9"/>
      </font>
    </dxf>
    <dxf>
      <font>
        <name val="Calibri Light"/>
        <color auto="1"/>
      </font>
      <fill>
        <patternFill patternType="solid">
          <fgColor indexed="9"/>
          <bgColor theme="3" tint="0.5999600291252136"/>
        </patternFill>
      </fill>
    </dxf>
    <dxf>
      <font>
        <b val="0"/>
        <color indexed="9"/>
      </font>
    </dxf>
    <dxf>
      <font>
        <name val="Calibri Light"/>
        <color theme="2" tint="-0.24993999302387238"/>
      </font>
      <fill>
        <patternFill patternType="solid">
          <fgColor indexed="9"/>
          <bgColor theme="0" tint="-0.3499799966812134"/>
        </patternFill>
      </fill>
    </dxf>
    <dxf>
      <font>
        <b val="0"/>
        <color indexed="9"/>
      </font>
    </dxf>
    <dxf>
      <font>
        <name val="Calibri Light"/>
        <color auto="1"/>
      </font>
      <fill>
        <patternFill patternType="solid">
          <fgColor indexed="9"/>
          <bgColor theme="3" tint="0.5999600291252136"/>
        </patternFill>
      </fill>
    </dxf>
    <dxf>
      <font>
        <b val="0"/>
        <color indexed="9"/>
      </font>
    </dxf>
    <dxf>
      <font>
        <name val="Calibri Light"/>
        <color auto="1"/>
      </font>
      <fill>
        <patternFill patternType="solid">
          <fgColor indexed="9"/>
          <bgColor theme="3" tint="0.5999600291252136"/>
        </patternFill>
      </fill>
    </dxf>
    <dxf>
      <font>
        <b val="0"/>
        <color indexed="9"/>
      </font>
    </dxf>
    <dxf>
      <font>
        <name val="Calibri Light"/>
        <color theme="2" tint="-0.24993999302387238"/>
      </font>
      <fill>
        <patternFill patternType="solid">
          <fgColor indexed="9"/>
          <bgColor theme="0" tint="-0.3499799966812134"/>
        </patternFill>
      </fill>
    </dxf>
    <dxf>
      <font>
        <b val="0"/>
        <color indexed="9"/>
      </font>
    </dxf>
    <dxf>
      <font>
        <name val="Calibri Light"/>
        <color theme="2" tint="-0.24993999302387238"/>
      </font>
      <fill>
        <patternFill patternType="solid">
          <fgColor indexed="9"/>
          <bgColor theme="0" tint="-0.3499799966812134"/>
        </patternFill>
      </fill>
    </dxf>
    <dxf>
      <font>
        <b val="0"/>
        <color indexed="9"/>
      </font>
    </dxf>
    <dxf>
      <font>
        <name val="Cambria"/>
        <color theme="1" tint="0.34999001026153564"/>
      </font>
      <fill>
        <patternFill patternType="solid">
          <fgColor indexed="9"/>
          <bgColor theme="1" tint="0.34999001026153564"/>
        </patternFill>
      </fill>
    </dxf>
    <dxf>
      <font>
        <b val="0"/>
        <color indexed="9"/>
      </font>
    </dxf>
    <dxf>
      <font>
        <name val="Calibri Light"/>
        <color auto="1"/>
      </font>
      <fill>
        <patternFill patternType="solid">
          <fgColor indexed="9"/>
          <bgColor theme="3" tint="0.5999600291252136"/>
        </patternFill>
      </fill>
    </dxf>
    <dxf>
      <font>
        <b val="0"/>
        <color indexed="9"/>
      </font>
    </dxf>
    <dxf>
      <font>
        <name val="Calibri Light"/>
        <color auto="1"/>
      </font>
      <fill>
        <patternFill patternType="solid">
          <fgColor indexed="9"/>
          <bgColor theme="3" tint="0.5999600291252136"/>
        </patternFill>
      </fill>
    </dxf>
    <dxf>
      <font>
        <b val="0"/>
        <color indexed="9"/>
      </font>
    </dxf>
    <dxf>
      <font>
        <name val="Calibri Light"/>
        <color theme="2" tint="-0.24993999302387238"/>
      </font>
      <fill>
        <patternFill patternType="solid">
          <fgColor indexed="9"/>
          <bgColor theme="0" tint="-0.3499799966812134"/>
        </patternFill>
      </fill>
    </dxf>
    <dxf>
      <font>
        <b val="0"/>
        <color indexed="9"/>
      </font>
    </dxf>
    <dxf>
      <font>
        <name val="Calibri Light"/>
        <color theme="2" tint="-0.24993999302387238"/>
      </font>
      <fill>
        <patternFill patternType="solid">
          <fgColor indexed="9"/>
          <bgColor theme="0" tint="-0.3499799966812134"/>
        </patternFill>
      </fill>
    </dxf>
    <dxf>
      <font>
        <b val="0"/>
        <color indexed="9"/>
      </font>
    </dxf>
    <dxf>
      <font>
        <name val="Calibri Light"/>
        <color auto="1"/>
      </font>
      <fill>
        <patternFill patternType="solid">
          <fgColor indexed="9"/>
          <bgColor theme="3" tint="0.5999600291252136"/>
        </patternFill>
      </fill>
    </dxf>
    <dxf>
      <font>
        <b val="0"/>
        <color indexed="9"/>
      </font>
    </dxf>
    <dxf>
      <font>
        <name val="Calibri Light"/>
        <color theme="2" tint="-0.24993999302387238"/>
      </font>
      <fill>
        <patternFill patternType="solid">
          <fgColor indexed="9"/>
          <bgColor theme="0" tint="-0.3499799966812134"/>
        </patternFill>
      </fill>
    </dxf>
    <dxf>
      <font>
        <b val="0"/>
        <color indexed="9"/>
      </font>
    </dxf>
    <dxf>
      <font>
        <name val="Cambria"/>
        <color theme="1" tint="0.34999001026153564"/>
      </font>
      <fill>
        <patternFill patternType="solid">
          <fgColor indexed="9"/>
          <bgColor theme="1" tint="0.34999001026153564"/>
        </patternFill>
      </fill>
    </dxf>
    <dxf>
      <font>
        <b val="0"/>
        <color indexed="9"/>
      </font>
    </dxf>
    <dxf>
      <font>
        <name val="Cambria"/>
        <color theme="1" tint="0.34999001026153564"/>
      </font>
      <fill>
        <patternFill patternType="solid">
          <fgColor indexed="9"/>
          <bgColor theme="1" tint="0.34999001026153564"/>
        </patternFill>
      </fill>
    </dxf>
    <dxf>
      <font>
        <b val="0"/>
        <color indexed="9"/>
      </font>
    </dxf>
    <dxf>
      <font>
        <name val="Calibri Light"/>
        <color auto="1"/>
      </font>
      <fill>
        <patternFill patternType="solid">
          <fgColor indexed="9"/>
          <bgColor theme="3" tint="0.5999600291252136"/>
        </patternFill>
      </fill>
    </dxf>
    <dxf>
      <font>
        <b val="0"/>
        <color indexed="9"/>
      </font>
    </dxf>
    <dxf>
      <font>
        <name val="Calibri Light"/>
        <color auto="1"/>
      </font>
      <fill>
        <patternFill patternType="solid">
          <fgColor indexed="9"/>
          <bgColor theme="3" tint="0.5999600291252136"/>
        </patternFill>
      </fill>
    </dxf>
    <dxf>
      <font>
        <b val="0"/>
        <color indexed="9"/>
      </font>
    </dxf>
    <dxf>
      <font>
        <name val="Calibri Light"/>
        <color theme="2" tint="-0.24993999302387238"/>
      </font>
      <fill>
        <patternFill patternType="solid">
          <fgColor indexed="9"/>
          <bgColor theme="0" tint="-0.3499799966812134"/>
        </patternFill>
      </fill>
    </dxf>
    <dxf>
      <font>
        <b val="0"/>
        <color indexed="9"/>
      </font>
    </dxf>
    <dxf>
      <font>
        <name val="Calibri Light"/>
        <color theme="2" tint="-0.24993999302387238"/>
      </font>
      <fill>
        <patternFill patternType="solid">
          <fgColor indexed="9"/>
          <bgColor theme="0" tint="-0.3499799966812134"/>
        </patternFill>
      </fill>
    </dxf>
    <dxf>
      <font>
        <b val="0"/>
        <color indexed="9"/>
      </font>
    </dxf>
    <dxf>
      <font>
        <name val="Calibri Light"/>
        <color auto="1"/>
      </font>
      <fill>
        <patternFill patternType="solid">
          <fgColor indexed="9"/>
          <bgColor theme="3" tint="0.5999600291252136"/>
        </patternFill>
      </fill>
    </dxf>
    <dxf>
      <font>
        <b val="0"/>
        <color indexed="9"/>
      </font>
    </dxf>
    <dxf>
      <font>
        <name val="Calibri Light"/>
        <color theme="2" tint="-0.24993999302387238"/>
      </font>
      <fill>
        <patternFill patternType="solid">
          <fgColor indexed="9"/>
          <bgColor theme="0" tint="-0.3499799966812134"/>
        </patternFill>
      </fill>
    </dxf>
    <dxf>
      <font>
        <b val="0"/>
        <color indexed="9"/>
      </font>
    </dxf>
    <dxf>
      <font>
        <name val="Calibri Light"/>
        <color auto="1"/>
      </font>
      <fill>
        <patternFill patternType="solid">
          <fgColor indexed="9"/>
          <bgColor theme="3" tint="0.5999600291252136"/>
        </patternFill>
      </fill>
    </dxf>
    <dxf>
      <font>
        <b val="0"/>
        <color indexed="9"/>
      </font>
    </dxf>
    <dxf>
      <font>
        <name val="Calibri Light"/>
        <color auto="1"/>
      </font>
      <fill>
        <patternFill patternType="solid">
          <fgColor indexed="9"/>
          <bgColor theme="3" tint="0.5999600291252136"/>
        </patternFill>
      </fill>
    </dxf>
    <dxf>
      <font>
        <b val="0"/>
        <color indexed="9"/>
      </font>
    </dxf>
    <dxf>
      <font>
        <name val="Calibri Light"/>
        <color theme="2" tint="-0.24993999302387238"/>
      </font>
      <fill>
        <patternFill patternType="solid">
          <fgColor indexed="9"/>
          <bgColor theme="0" tint="-0.3499799966812134"/>
        </patternFill>
      </fill>
    </dxf>
    <dxf>
      <font>
        <b val="0"/>
        <color indexed="9"/>
      </font>
    </dxf>
    <dxf>
      <font>
        <name val="Calibri Light"/>
        <color theme="2" tint="-0.24993999302387238"/>
      </font>
      <fill>
        <patternFill patternType="solid">
          <fgColor indexed="9"/>
          <bgColor theme="0" tint="-0.3499799966812134"/>
        </patternFill>
      </fill>
    </dxf>
    <dxf>
      <font>
        <b val="0"/>
        <color indexed="9"/>
      </font>
    </dxf>
    <dxf>
      <font>
        <name val="Calibri Light"/>
        <color auto="1"/>
      </font>
      <fill>
        <patternFill patternType="solid">
          <fgColor indexed="9"/>
          <bgColor theme="3" tint="0.5999600291252136"/>
        </patternFill>
      </fill>
    </dxf>
    <dxf>
      <font>
        <b val="0"/>
        <color indexed="9"/>
      </font>
    </dxf>
    <dxf>
      <font>
        <name val="Calibri Light"/>
        <color auto="1"/>
      </font>
      <fill>
        <patternFill patternType="solid">
          <fgColor indexed="9"/>
          <bgColor theme="3" tint="0.5999600291252136"/>
        </patternFill>
      </fill>
    </dxf>
    <dxf>
      <font>
        <b val="0"/>
        <color indexed="9"/>
      </font>
    </dxf>
    <dxf>
      <font>
        <name val="Calibri Light"/>
        <color auto="1"/>
      </font>
      <fill>
        <patternFill patternType="solid">
          <fgColor indexed="9"/>
          <bgColor theme="3" tint="0.5999600291252136"/>
        </patternFill>
      </fill>
    </dxf>
    <dxf>
      <font>
        <b val="0"/>
        <color indexed="9"/>
      </font>
    </dxf>
    <dxf>
      <font>
        <name val="Calibri Light"/>
        <color theme="2" tint="-0.24993999302387238"/>
      </font>
      <fill>
        <patternFill patternType="solid">
          <fgColor indexed="9"/>
          <bgColor theme="0" tint="-0.3499799966812134"/>
        </patternFill>
      </fill>
    </dxf>
    <dxf>
      <font>
        <b val="0"/>
        <color indexed="9"/>
      </font>
    </dxf>
    <dxf>
      <font>
        <name val="Calibri Light"/>
        <color auto="1"/>
      </font>
      <fill>
        <patternFill patternType="solid">
          <fgColor indexed="9"/>
          <bgColor theme="3" tint="0.5999600291252136"/>
        </patternFill>
      </fill>
    </dxf>
    <dxf>
      <font>
        <b val="0"/>
        <color indexed="9"/>
      </font>
    </dxf>
    <dxf>
      <font>
        <name val="Calibri Light"/>
        <color auto="1"/>
      </font>
      <fill>
        <patternFill patternType="solid">
          <fgColor indexed="9"/>
          <bgColor theme="3" tint="0.5999600291252136"/>
        </patternFill>
      </fill>
    </dxf>
    <dxf>
      <font>
        <b val="0"/>
        <color indexed="9"/>
      </font>
    </dxf>
    <dxf>
      <font>
        <name val="Calibri Light"/>
        <color theme="2" tint="-0.24993999302387238"/>
      </font>
      <fill>
        <patternFill patternType="solid">
          <fgColor indexed="9"/>
          <bgColor theme="0" tint="-0.3499799966812134"/>
        </patternFill>
      </fill>
    </dxf>
    <dxf>
      <font>
        <b val="0"/>
        <color indexed="9"/>
      </font>
    </dxf>
    <dxf>
      <font>
        <name val="Calibri Light"/>
        <color auto="1"/>
      </font>
      <fill>
        <patternFill patternType="solid">
          <fgColor indexed="9"/>
          <bgColor theme="3" tint="0.5999600291252136"/>
        </patternFill>
      </fill>
    </dxf>
    <dxf>
      <font>
        <b val="0"/>
        <color indexed="9"/>
      </font>
    </dxf>
    <dxf>
      <font>
        <name val="Calibri Light"/>
        <color theme="2" tint="-0.24993999302387238"/>
      </font>
      <fill>
        <patternFill patternType="solid">
          <fgColor indexed="9"/>
          <bgColor theme="0" tint="-0.3499799966812134"/>
        </patternFill>
      </fill>
    </dxf>
    <dxf>
      <font>
        <b val="0"/>
        <color indexed="9"/>
      </font>
    </dxf>
    <dxf>
      <font>
        <name val="Calibri Light"/>
        <color auto="1"/>
      </font>
      <fill>
        <patternFill patternType="solid">
          <fgColor indexed="9"/>
          <bgColor theme="3" tint="0.5999600291252136"/>
        </patternFill>
      </fill>
    </dxf>
    <dxf>
      <font>
        <b val="0"/>
        <color indexed="9"/>
      </font>
    </dxf>
    <dxf>
      <font>
        <name val="Calibri Light"/>
        <color auto="1"/>
      </font>
      <fill>
        <patternFill patternType="solid">
          <fgColor indexed="9"/>
          <bgColor theme="3" tint="0.5999600291252136"/>
        </patternFill>
      </fill>
    </dxf>
    <dxf>
      <font>
        <b val="0"/>
        <color indexed="9"/>
      </font>
    </dxf>
    <dxf>
      <font>
        <name val="Calibri Light"/>
        <color theme="2" tint="-0.24993999302387238"/>
      </font>
      <fill>
        <patternFill patternType="solid">
          <fgColor indexed="9"/>
          <bgColor theme="0" tint="-0.3499799966812134"/>
        </patternFill>
      </fill>
    </dxf>
    <dxf>
      <font>
        <b val="0"/>
        <color indexed="9"/>
      </font>
    </dxf>
    <dxf>
      <font>
        <name val="Calibri Light"/>
        <color auto="1"/>
      </font>
      <fill>
        <patternFill patternType="solid">
          <fgColor indexed="9"/>
          <bgColor theme="3" tint="0.5999600291252136"/>
        </patternFill>
      </fill>
    </dxf>
    <dxf>
      <font>
        <b val="0"/>
        <color indexed="9"/>
      </font>
    </dxf>
    <dxf>
      <font>
        <name val="Calibri Light"/>
        <color auto="1"/>
      </font>
      <fill>
        <patternFill patternType="solid">
          <fgColor indexed="9"/>
          <bgColor theme="3" tint="0.5999600291252136"/>
        </patternFill>
      </fill>
    </dxf>
    <dxf>
      <font>
        <b val="0"/>
        <color indexed="9"/>
      </font>
    </dxf>
    <dxf>
      <font>
        <name val="Calibri Light"/>
        <color theme="2" tint="-0.24993999302387238"/>
      </font>
      <fill>
        <patternFill patternType="solid">
          <fgColor indexed="9"/>
          <bgColor theme="0" tint="-0.3499799966812134"/>
        </patternFill>
      </fill>
    </dxf>
    <dxf>
      <font>
        <b val="0"/>
        <color indexed="9"/>
      </font>
    </dxf>
    <dxf>
      <font>
        <name val="Calibri Light"/>
        <color auto="1"/>
      </font>
      <fill>
        <patternFill patternType="solid">
          <fgColor indexed="9"/>
          <bgColor theme="3" tint="0.5999600291252136"/>
        </patternFill>
      </fill>
    </dxf>
    <dxf>
      <font>
        <b val="0"/>
        <color indexed="9"/>
      </font>
    </dxf>
    <dxf>
      <font>
        <name val="Calibri Light"/>
        <color auto="1"/>
      </font>
      <fill>
        <patternFill patternType="solid">
          <fgColor indexed="9"/>
          <bgColor theme="3" tint="0.5999600291252136"/>
        </patternFill>
      </fill>
    </dxf>
    <dxf>
      <font>
        <b val="0"/>
        <color indexed="9"/>
      </font>
    </dxf>
    <dxf>
      <font>
        <name val="Calibri Light"/>
        <color theme="2" tint="-0.24993999302387238"/>
      </font>
      <fill>
        <patternFill patternType="solid">
          <fgColor indexed="9"/>
          <bgColor theme="0" tint="-0.3499799966812134"/>
        </patternFill>
      </fill>
    </dxf>
    <dxf>
      <font>
        <b val="0"/>
        <color indexed="9"/>
      </font>
    </dxf>
    <dxf>
      <font>
        <name val="Calibri Light"/>
        <color theme="2" tint="-0.24993999302387238"/>
      </font>
      <fill>
        <patternFill patternType="solid">
          <fgColor indexed="9"/>
          <bgColor theme="0" tint="-0.3499799966812134"/>
        </patternFill>
      </fill>
    </dxf>
    <dxf>
      <font>
        <b val="0"/>
        <color indexed="9"/>
      </font>
    </dxf>
    <dxf>
      <font>
        <name val="Calibri Light"/>
        <color auto="1"/>
      </font>
      <fill>
        <patternFill patternType="solid">
          <fgColor indexed="9"/>
          <bgColor theme="3" tint="0.5999600291252136"/>
        </patternFill>
      </fill>
    </dxf>
    <dxf>
      <font>
        <b val="0"/>
        <color indexed="9"/>
      </font>
    </dxf>
    <dxf>
      <font>
        <name val="Calibri Light"/>
        <color auto="1"/>
      </font>
      <fill>
        <patternFill patternType="solid">
          <fgColor indexed="9"/>
          <bgColor theme="3" tint="0.5999600291252136"/>
        </patternFill>
      </fill>
    </dxf>
    <dxf>
      <font>
        <b val="0"/>
        <color indexed="9"/>
      </font>
    </dxf>
    <dxf>
      <font>
        <name val="Calibri Light"/>
        <color theme="2" tint="-0.24993999302387238"/>
      </font>
      <fill>
        <patternFill patternType="solid">
          <fgColor indexed="9"/>
          <bgColor theme="0" tint="-0.3499799966812134"/>
        </patternFill>
      </fill>
    </dxf>
    <dxf>
      <font>
        <b val="0"/>
        <color indexed="9"/>
      </font>
    </dxf>
    <dxf>
      <font>
        <name val="Calibri Light"/>
        <color auto="1"/>
      </font>
      <fill>
        <patternFill patternType="solid">
          <fgColor indexed="9"/>
          <bgColor theme="3" tint="0.5999600291252136"/>
        </patternFill>
      </fill>
    </dxf>
    <dxf>
      <font>
        <b val="0"/>
        <color indexed="9"/>
      </font>
    </dxf>
    <dxf>
      <font>
        <name val="Calibri Light"/>
        <color auto="1"/>
      </font>
      <fill>
        <patternFill patternType="solid">
          <fgColor indexed="9"/>
          <bgColor theme="3" tint="0.5999600291252136"/>
        </patternFill>
      </fill>
    </dxf>
    <dxf>
      <font>
        <b val="0"/>
        <color indexed="9"/>
      </font>
    </dxf>
    <dxf>
      <font>
        <name val="Calibri Light"/>
        <color theme="2" tint="-0.24993999302387238"/>
      </font>
      <fill>
        <patternFill patternType="solid">
          <fgColor indexed="9"/>
          <bgColor theme="0" tint="-0.3499799966812134"/>
        </patternFill>
      </fill>
    </dxf>
    <dxf>
      <font>
        <b val="0"/>
        <color indexed="9"/>
      </font>
    </dxf>
    <dxf>
      <font>
        <name val="Calibri Light"/>
        <color theme="2" tint="-0.24993999302387238"/>
      </font>
      <fill>
        <patternFill patternType="solid">
          <fgColor indexed="9"/>
          <bgColor theme="0" tint="-0.3499799966812134"/>
        </patternFill>
      </fill>
    </dxf>
    <dxf>
      <font>
        <b val="0"/>
        <color indexed="9"/>
      </font>
    </dxf>
    <dxf>
      <font>
        <name val="Calibri Light"/>
        <color auto="1"/>
      </font>
      <fill>
        <patternFill patternType="solid">
          <fgColor indexed="9"/>
          <bgColor theme="3" tint="0.5999600291252136"/>
        </patternFill>
      </fill>
    </dxf>
    <dxf>
      <font>
        <b val="0"/>
        <color indexed="9"/>
      </font>
    </dxf>
    <dxf>
      <font>
        <name val="Calibri Light"/>
        <color auto="1"/>
      </font>
      <fill>
        <patternFill patternType="solid">
          <fgColor indexed="9"/>
          <bgColor theme="3" tint="0.5999600291252136"/>
        </patternFill>
      </fill>
    </dxf>
    <dxf>
      <font>
        <b val="0"/>
        <color indexed="9"/>
      </font>
    </dxf>
    <dxf>
      <font>
        <name val="Calibri Light"/>
        <color theme="2" tint="-0.24993999302387238"/>
      </font>
      <fill>
        <patternFill patternType="solid">
          <fgColor indexed="9"/>
          <bgColor theme="0" tint="-0.3499799966812134"/>
        </patternFill>
      </fill>
    </dxf>
    <dxf>
      <font>
        <b val="0"/>
        <color indexed="9"/>
      </font>
    </dxf>
    <dxf>
      <font>
        <name val="Calibri Light"/>
        <color auto="1"/>
      </font>
      <fill>
        <patternFill patternType="solid">
          <fgColor indexed="9"/>
          <bgColor theme="3" tint="0.5999600291252136"/>
        </patternFill>
      </fill>
    </dxf>
    <dxf>
      <font>
        <b val="0"/>
        <color indexed="9"/>
      </font>
    </dxf>
    <dxf>
      <font>
        <name val="Calibri Light"/>
        <color auto="1"/>
      </font>
      <fill>
        <patternFill patternType="solid">
          <fgColor indexed="9"/>
          <bgColor theme="3" tint="0.5999600291252136"/>
        </patternFill>
      </fill>
    </dxf>
    <dxf>
      <font>
        <b val="0"/>
        <color indexed="9"/>
      </font>
    </dxf>
    <dxf>
      <font>
        <name val="Calibri Light"/>
        <color theme="2" tint="-0.24993999302387238"/>
      </font>
      <fill>
        <patternFill patternType="solid">
          <fgColor indexed="9"/>
          <bgColor theme="0" tint="-0.3499799966812134"/>
        </patternFill>
      </fill>
    </dxf>
    <dxf>
      <font>
        <b val="0"/>
        <color indexed="9"/>
      </font>
    </dxf>
    <dxf>
      <font>
        <name val="Calibri Light"/>
        <color theme="2" tint="-0.24993999302387238"/>
      </font>
      <fill>
        <patternFill patternType="solid">
          <fgColor indexed="9"/>
          <bgColor theme="0" tint="-0.3499799966812134"/>
        </patternFill>
      </fill>
    </dxf>
    <dxf>
      <font>
        <b val="0"/>
        <color indexed="9"/>
      </font>
    </dxf>
    <dxf>
      <font>
        <name val="Cambria"/>
        <color theme="1" tint="0.34999001026153564"/>
      </font>
      <fill>
        <patternFill patternType="solid">
          <fgColor indexed="9"/>
          <bgColor theme="1" tint="0.34999001026153564"/>
        </patternFill>
      </fill>
    </dxf>
    <dxf>
      <font>
        <b val="0"/>
        <color indexed="9"/>
      </font>
    </dxf>
    <dxf>
      <font>
        <color theme="1" tint="0.34999001026153564"/>
      </font>
      <fill>
        <patternFill patternType="solid">
          <fgColor rgb="FFFFFFFF"/>
          <bgColor theme="1" tint="0.34999001026153564"/>
        </patternFill>
      </fill>
      <border/>
    </dxf>
    <dxf>
      <font>
        <color theme="2" tint="-0.24993999302387238"/>
      </font>
      <fill>
        <patternFill patternType="solid">
          <fgColor rgb="FFFFFFFF"/>
          <bgColor theme="0" tint="-0.3499799966812134"/>
        </patternFill>
      </fill>
      <border/>
    </dxf>
    <dxf>
      <font>
        <color auto="1"/>
      </font>
      <fill>
        <patternFill patternType="solid">
          <fgColor rgb="FFFFFFFF"/>
          <bgColor theme="3"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7E4BD"/>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1F497D"/>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02%20-%20Escolas\01%20-%20CEMEB%20Romeu%20Manfrinato%20-%20EMIC\Or&#231;amento%2001-09-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Q "/>
      <sheetName val="Resumo _ Licitação"/>
      <sheetName val="CRONOGRAMA_ Licitação"/>
      <sheetName val="Orçamento"/>
      <sheetName val="Composiçoes"/>
    </sheetNames>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442"/>
  <sheetViews>
    <sheetView showZeros="0" zoomScaleSheetLayoutView="70" workbookViewId="0" topLeftCell="C145">
      <selection activeCell="M52" sqref="M52"/>
    </sheetView>
  </sheetViews>
  <sheetFormatPr defaultColWidth="9.140625" defaultRowHeight="12.75" outlineLevelRow="1"/>
  <cols>
    <col min="1" max="1" width="11.7109375" style="146" hidden="1" customWidth="1"/>
    <col min="2" max="2" width="0" style="61" hidden="1" customWidth="1"/>
    <col min="3" max="3" width="12.00390625" style="145" customWidth="1"/>
    <col min="4" max="4" width="12.140625" style="145" customWidth="1"/>
    <col min="5" max="5" width="16.57421875" style="67" customWidth="1"/>
    <col min="6" max="6" width="56.57421875" style="147" customWidth="1"/>
    <col min="7" max="7" width="8.57421875" style="145" customWidth="1"/>
    <col min="8" max="8" width="11.7109375" style="146" customWidth="1"/>
    <col min="9" max="9" width="9.00390625" style="134" customWidth="1"/>
    <col min="10" max="10" width="20.8515625" style="148" customWidth="1"/>
    <col min="11" max="11" width="13.140625" style="141" customWidth="1"/>
    <col min="12" max="12" width="15.140625" style="1" hidden="1" customWidth="1"/>
    <col min="13" max="16384" width="9.140625" style="4" customWidth="1"/>
  </cols>
  <sheetData>
    <row r="1" spans="1:12" ht="30" customHeight="1">
      <c r="A1" s="4"/>
      <c r="C1" s="62"/>
      <c r="D1" s="63"/>
      <c r="E1" s="64"/>
      <c r="F1" s="152"/>
      <c r="G1" s="152"/>
      <c r="H1" s="152"/>
      <c r="I1" s="152"/>
      <c r="J1" s="152"/>
      <c r="K1" s="153"/>
      <c r="L1" s="56" t="s">
        <v>155</v>
      </c>
    </row>
    <row r="2" spans="1:12" ht="18">
      <c r="A2" s="4"/>
      <c r="C2" s="65"/>
      <c r="D2" s="66"/>
      <c r="F2" s="154"/>
      <c r="G2" s="154"/>
      <c r="H2" s="154"/>
      <c r="I2" s="154"/>
      <c r="J2" s="154"/>
      <c r="K2" s="155"/>
      <c r="L2" s="57">
        <v>1</v>
      </c>
    </row>
    <row r="3" spans="1:12" ht="18">
      <c r="A3" s="4"/>
      <c r="C3" s="65"/>
      <c r="D3" s="66"/>
      <c r="F3" s="156"/>
      <c r="G3" s="156"/>
      <c r="H3" s="156"/>
      <c r="I3" s="156"/>
      <c r="J3" s="156"/>
      <c r="K3" s="157"/>
      <c r="L3" s="58"/>
    </row>
    <row r="4" spans="1:12" ht="15.75">
      <c r="A4" s="68"/>
      <c r="C4" s="65"/>
      <c r="D4" s="66"/>
      <c r="F4" s="69"/>
      <c r="G4" s="70"/>
      <c r="H4" s="68"/>
      <c r="I4" s="70"/>
      <c r="J4" s="70"/>
      <c r="K4" s="71"/>
      <c r="L4" s="58"/>
    </row>
    <row r="5" spans="2:12" s="5" customFormat="1" ht="15.75">
      <c r="B5" s="61"/>
      <c r="C5" s="158" t="s">
        <v>0</v>
      </c>
      <c r="D5" s="159"/>
      <c r="E5" s="160"/>
      <c r="F5" s="161" t="s">
        <v>310</v>
      </c>
      <c r="G5" s="159"/>
      <c r="H5" s="162"/>
      <c r="I5" s="162"/>
      <c r="J5" s="162"/>
      <c r="K5" s="163"/>
      <c r="L5" s="4"/>
    </row>
    <row r="6" spans="2:12" s="5" customFormat="1" ht="6.75" customHeight="1">
      <c r="B6" s="61"/>
      <c r="C6" s="164"/>
      <c r="D6" s="159"/>
      <c r="E6" s="165"/>
      <c r="F6" s="166"/>
      <c r="G6" s="159"/>
      <c r="H6" s="162"/>
      <c r="I6" s="162"/>
      <c r="J6" s="162"/>
      <c r="K6" s="167"/>
      <c r="L6" s="4"/>
    </row>
    <row r="7" spans="2:12" s="5" customFormat="1" ht="15.75">
      <c r="B7" s="61"/>
      <c r="C7" s="168" t="s">
        <v>1</v>
      </c>
      <c r="D7" s="161"/>
      <c r="E7" s="160"/>
      <c r="F7" s="161" t="s">
        <v>191</v>
      </c>
      <c r="G7" s="159"/>
      <c r="H7" s="169" t="s">
        <v>2</v>
      </c>
      <c r="I7" s="169"/>
      <c r="J7" s="170">
        <v>9153.72</v>
      </c>
      <c r="K7" s="171"/>
      <c r="L7" s="52"/>
    </row>
    <row r="8" spans="1:12" s="5" customFormat="1" ht="6.75" customHeight="1">
      <c r="A8" s="68"/>
      <c r="B8" s="61"/>
      <c r="C8" s="168"/>
      <c r="D8" s="161"/>
      <c r="E8" s="160"/>
      <c r="F8" s="161"/>
      <c r="G8" s="159"/>
      <c r="H8" s="172"/>
      <c r="I8" s="159"/>
      <c r="J8" s="159"/>
      <c r="K8" s="171"/>
      <c r="L8" s="4"/>
    </row>
    <row r="9" spans="2:12" s="5" customFormat="1" ht="15.75">
      <c r="B9" s="61"/>
      <c r="C9" s="168" t="s">
        <v>3</v>
      </c>
      <c r="D9" s="161"/>
      <c r="E9" s="160"/>
      <c r="F9" s="161" t="s">
        <v>311</v>
      </c>
      <c r="G9" s="159"/>
      <c r="H9" s="169" t="s">
        <v>4</v>
      </c>
      <c r="I9" s="169"/>
      <c r="J9" s="173" t="e">
        <f>I395</f>
        <v>#VALUE!</v>
      </c>
      <c r="K9" s="174"/>
      <c r="L9" s="72"/>
    </row>
    <row r="10" spans="1:12" s="5" customFormat="1" ht="6.75" customHeight="1">
      <c r="A10" s="73"/>
      <c r="B10" s="61"/>
      <c r="C10" s="175"/>
      <c r="D10" s="159"/>
      <c r="E10" s="165"/>
      <c r="F10" s="166"/>
      <c r="G10" s="159"/>
      <c r="H10" s="176"/>
      <c r="I10" s="176"/>
      <c r="J10" s="177"/>
      <c r="K10" s="178"/>
      <c r="L10" s="4"/>
    </row>
    <row r="11" spans="2:12" s="5" customFormat="1" ht="16.5" thickBot="1">
      <c r="B11" s="61"/>
      <c r="C11" s="179" t="s">
        <v>26</v>
      </c>
      <c r="D11" s="180"/>
      <c r="E11" s="180"/>
      <c r="F11" s="181" t="s">
        <v>668</v>
      </c>
      <c r="G11" s="180"/>
      <c r="H11" s="182" t="s">
        <v>156</v>
      </c>
      <c r="I11" s="182"/>
      <c r="J11" s="183" t="e">
        <f>J9/J7</f>
        <v>#VALUE!</v>
      </c>
      <c r="K11" s="184"/>
      <c r="L11" s="40"/>
    </row>
    <row r="12" spans="1:12" ht="13.5" thickBot="1">
      <c r="A12" s="74"/>
      <c r="C12" s="185"/>
      <c r="D12" s="186"/>
      <c r="E12" s="187"/>
      <c r="F12" s="188"/>
      <c r="G12" s="189"/>
      <c r="H12" s="190"/>
      <c r="I12" s="189"/>
      <c r="J12" s="189"/>
      <c r="K12" s="191"/>
      <c r="L12" s="53"/>
    </row>
    <row r="13" spans="1:12" s="6" customFormat="1" ht="54.75" thickBot="1">
      <c r="A13" s="77" t="s">
        <v>7</v>
      </c>
      <c r="B13" s="61"/>
      <c r="C13" s="3" t="s">
        <v>27</v>
      </c>
      <c r="D13" s="3" t="s">
        <v>33</v>
      </c>
      <c r="E13" s="192" t="s">
        <v>5</v>
      </c>
      <c r="F13" s="193" t="s">
        <v>172</v>
      </c>
      <c r="G13" s="194" t="s">
        <v>6</v>
      </c>
      <c r="H13" s="195" t="s">
        <v>7</v>
      </c>
      <c r="I13" s="196" t="s">
        <v>176</v>
      </c>
      <c r="J13" s="197" t="s">
        <v>52</v>
      </c>
      <c r="K13" s="198" t="s">
        <v>8</v>
      </c>
      <c r="L13" s="54"/>
    </row>
    <row r="14" spans="1:12" s="7" customFormat="1" ht="15.75" thickBot="1">
      <c r="A14" s="78"/>
      <c r="B14" s="61"/>
      <c r="C14" s="199">
        <v>1</v>
      </c>
      <c r="D14" s="200"/>
      <c r="E14" s="201"/>
      <c r="F14" s="202" t="s">
        <v>313</v>
      </c>
      <c r="G14" s="203">
        <f>ROUND(SUM(G15+G98+G178+G222+G255+G281+G292+G349+G357+G372+G378+G383+G388),2)</f>
        <v>0</v>
      </c>
      <c r="H14" s="203"/>
      <c r="I14" s="203"/>
      <c r="J14" s="204"/>
      <c r="K14" s="205" t="e">
        <f>G14/$I$394</f>
        <v>#DIV/0!</v>
      </c>
      <c r="L14" s="55"/>
    </row>
    <row r="15" spans="1:12" ht="12.75" outlineLevel="1">
      <c r="A15" s="79"/>
      <c r="C15" s="206" t="s">
        <v>11</v>
      </c>
      <c r="D15" s="207"/>
      <c r="E15" s="208"/>
      <c r="F15" s="209" t="s">
        <v>192</v>
      </c>
      <c r="G15" s="210">
        <f>ROUND(SUM(J16:J97),2)</f>
        <v>0</v>
      </c>
      <c r="H15" s="210"/>
      <c r="I15" s="210"/>
      <c r="J15" s="210"/>
      <c r="K15" s="211" t="e">
        <f>G15/$I$394</f>
        <v>#DIV/0!</v>
      </c>
      <c r="L15" s="72"/>
    </row>
    <row r="16" spans="1:12" ht="25.5" outlineLevel="1">
      <c r="A16" s="80">
        <v>28.44</v>
      </c>
      <c r="B16" s="61">
        <v>54</v>
      </c>
      <c r="C16" s="17" t="s">
        <v>12</v>
      </c>
      <c r="D16" s="212" t="s">
        <v>77</v>
      </c>
      <c r="E16" s="213" t="s">
        <v>665</v>
      </c>
      <c r="F16" s="214" t="s">
        <v>669</v>
      </c>
      <c r="G16" s="215" t="s">
        <v>19</v>
      </c>
      <c r="H16" s="216">
        <v>54</v>
      </c>
      <c r="I16" s="81"/>
      <c r="J16" s="19">
        <f aca="true" t="shared" si="0" ref="J16:J47">ROUND(_xlfn.IFERROR(H16*I16," - "),2)</f>
        <v>0</v>
      </c>
      <c r="K16" s="217" t="e">
        <f aca="true" t="shared" si="1" ref="K16:K47">J16/$I$394</f>
        <v>#DIV/0!</v>
      </c>
      <c r="L16" s="72"/>
    </row>
    <row r="17" spans="1:12" ht="25.5" outlineLevel="1">
      <c r="A17" s="80">
        <v>14.22</v>
      </c>
      <c r="B17" s="61">
        <f>17.47+3.38</f>
        <v>20.849999999999998</v>
      </c>
      <c r="C17" s="17" t="s">
        <v>13</v>
      </c>
      <c r="D17" s="212" t="s">
        <v>51</v>
      </c>
      <c r="E17" s="213" t="s">
        <v>665</v>
      </c>
      <c r="F17" s="214" t="s">
        <v>368</v>
      </c>
      <c r="G17" s="215" t="s">
        <v>436</v>
      </c>
      <c r="H17" s="216">
        <v>22.62</v>
      </c>
      <c r="I17" s="81"/>
      <c r="J17" s="19">
        <f t="shared" si="0"/>
        <v>0</v>
      </c>
      <c r="K17" s="217" t="e">
        <f t="shared" si="1"/>
        <v>#DIV/0!</v>
      </c>
      <c r="L17" s="72"/>
    </row>
    <row r="18" spans="1:12" ht="25.5" outlineLevel="1">
      <c r="A18" s="80">
        <v>28.44</v>
      </c>
      <c r="B18" s="61">
        <f>5.63+32.51</f>
        <v>38.14</v>
      </c>
      <c r="C18" s="17" t="s">
        <v>14</v>
      </c>
      <c r="D18" s="212">
        <v>10410</v>
      </c>
      <c r="E18" s="213" t="s">
        <v>479</v>
      </c>
      <c r="F18" s="214" t="s">
        <v>369</v>
      </c>
      <c r="G18" s="215" t="s">
        <v>370</v>
      </c>
      <c r="H18" s="216">
        <v>37.01</v>
      </c>
      <c r="I18" s="81"/>
      <c r="J18" s="19">
        <f t="shared" si="0"/>
        <v>0</v>
      </c>
      <c r="K18" s="217" t="e">
        <f t="shared" si="1"/>
        <v>#DIV/0!</v>
      </c>
      <c r="L18" s="72"/>
    </row>
    <row r="19" spans="1:12" ht="12.75" outlineLevel="1">
      <c r="A19" s="80">
        <v>4.62</v>
      </c>
      <c r="B19" s="61">
        <f>1.63+1.46</f>
        <v>3.09</v>
      </c>
      <c r="C19" s="17" t="s">
        <v>15</v>
      </c>
      <c r="D19" s="212" t="s">
        <v>74</v>
      </c>
      <c r="E19" s="213" t="s">
        <v>665</v>
      </c>
      <c r="F19" s="214" t="s">
        <v>670</v>
      </c>
      <c r="G19" s="215" t="s">
        <v>436</v>
      </c>
      <c r="H19" s="216">
        <v>3.34</v>
      </c>
      <c r="I19" s="81"/>
      <c r="J19" s="19">
        <f t="shared" si="0"/>
        <v>0</v>
      </c>
      <c r="K19" s="217" t="e">
        <f t="shared" si="1"/>
        <v>#DIV/0!</v>
      </c>
      <c r="L19" s="72"/>
    </row>
    <row r="20" spans="1:12" ht="12.75" outlineLevel="1">
      <c r="A20" s="80">
        <v>4.62</v>
      </c>
      <c r="B20" s="61">
        <f>1.63+1.46</f>
        <v>3.09</v>
      </c>
      <c r="C20" s="17" t="s">
        <v>16</v>
      </c>
      <c r="D20" s="212" t="s">
        <v>75</v>
      </c>
      <c r="E20" s="213" t="s">
        <v>665</v>
      </c>
      <c r="F20" s="214" t="s">
        <v>371</v>
      </c>
      <c r="G20" s="215" t="s">
        <v>436</v>
      </c>
      <c r="H20" s="216">
        <v>10.3</v>
      </c>
      <c r="I20" s="81"/>
      <c r="J20" s="19">
        <f t="shared" si="0"/>
        <v>0</v>
      </c>
      <c r="K20" s="217" t="e">
        <f t="shared" si="1"/>
        <v>#DIV/0!</v>
      </c>
      <c r="L20" s="72"/>
    </row>
    <row r="21" spans="1:12" s="43" customFormat="1" ht="25.5" outlineLevel="1">
      <c r="A21" s="80">
        <v>218.69</v>
      </c>
      <c r="B21" s="72">
        <f>133.95+618.53+75.38+171.4</f>
        <v>999.26</v>
      </c>
      <c r="C21" s="17" t="s">
        <v>17</v>
      </c>
      <c r="D21" s="218" t="s">
        <v>69</v>
      </c>
      <c r="E21" s="213" t="s">
        <v>665</v>
      </c>
      <c r="F21" s="214" t="s">
        <v>372</v>
      </c>
      <c r="G21" s="215" t="s">
        <v>60</v>
      </c>
      <c r="H21" s="216">
        <v>968.0799999999999</v>
      </c>
      <c r="I21" s="82"/>
      <c r="J21" s="42">
        <f t="shared" si="0"/>
        <v>0</v>
      </c>
      <c r="K21" s="220" t="e">
        <f t="shared" si="1"/>
        <v>#DIV/0!</v>
      </c>
      <c r="L21" s="72"/>
    </row>
    <row r="22" spans="1:12" ht="12.75" outlineLevel="1">
      <c r="A22" s="80">
        <v>218.69</v>
      </c>
      <c r="B22" s="61">
        <f>9+54.63</f>
        <v>63.63</v>
      </c>
      <c r="C22" s="17" t="s">
        <v>18</v>
      </c>
      <c r="D22" s="212" t="s">
        <v>67</v>
      </c>
      <c r="E22" s="213" t="s">
        <v>665</v>
      </c>
      <c r="F22" s="214" t="s">
        <v>671</v>
      </c>
      <c r="G22" s="215" t="s">
        <v>370</v>
      </c>
      <c r="H22" s="216">
        <v>61.81</v>
      </c>
      <c r="I22" s="81"/>
      <c r="J22" s="19">
        <f t="shared" si="0"/>
        <v>0</v>
      </c>
      <c r="K22" s="217" t="e">
        <f t="shared" si="1"/>
        <v>#DIV/0!</v>
      </c>
      <c r="L22" s="72"/>
    </row>
    <row r="23" spans="1:12" ht="25.5" outlineLevel="1">
      <c r="A23" s="80">
        <v>25.6</v>
      </c>
      <c r="C23" s="17" t="s">
        <v>20</v>
      </c>
      <c r="D23" s="212" t="s">
        <v>68</v>
      </c>
      <c r="E23" s="213" t="s">
        <v>665</v>
      </c>
      <c r="F23" s="214" t="s">
        <v>672</v>
      </c>
      <c r="G23" s="215" t="s">
        <v>370</v>
      </c>
      <c r="H23" s="216">
        <v>65.21</v>
      </c>
      <c r="I23" s="81"/>
      <c r="J23" s="19">
        <f t="shared" si="0"/>
        <v>0</v>
      </c>
      <c r="K23" s="217" t="e">
        <f t="shared" si="1"/>
        <v>#DIV/0!</v>
      </c>
      <c r="L23" s="72"/>
    </row>
    <row r="24" spans="1:12" ht="12.75" outlineLevel="1">
      <c r="A24" s="80">
        <v>218.69</v>
      </c>
      <c r="B24" s="61">
        <f>9+54.63</f>
        <v>63.63</v>
      </c>
      <c r="C24" s="17" t="s">
        <v>193</v>
      </c>
      <c r="D24" s="212" t="s">
        <v>500</v>
      </c>
      <c r="E24" s="213" t="s">
        <v>666</v>
      </c>
      <c r="F24" s="214" t="s">
        <v>673</v>
      </c>
      <c r="G24" s="215" t="s">
        <v>370</v>
      </c>
      <c r="H24" s="216">
        <v>111.24</v>
      </c>
      <c r="I24" s="81"/>
      <c r="J24" s="19">
        <f t="shared" si="0"/>
        <v>0</v>
      </c>
      <c r="K24" s="217" t="e">
        <f t="shared" si="1"/>
        <v>#DIV/0!</v>
      </c>
      <c r="L24" s="72"/>
    </row>
    <row r="25" spans="1:12" ht="12.75" outlineLevel="1">
      <c r="A25" s="80">
        <v>14.29</v>
      </c>
      <c r="B25" s="61">
        <f>2.64+1.01+4.92</f>
        <v>8.57</v>
      </c>
      <c r="C25" s="17" t="s">
        <v>194</v>
      </c>
      <c r="D25" s="212" t="s">
        <v>70</v>
      </c>
      <c r="E25" s="213" t="s">
        <v>665</v>
      </c>
      <c r="F25" s="214" t="s">
        <v>373</v>
      </c>
      <c r="G25" s="215" t="s">
        <v>436</v>
      </c>
      <c r="H25" s="216">
        <v>28.910000000000004</v>
      </c>
      <c r="I25" s="81"/>
      <c r="J25" s="19">
        <f t="shared" si="0"/>
        <v>0</v>
      </c>
      <c r="K25" s="217" t="e">
        <f t="shared" si="1"/>
        <v>#DIV/0!</v>
      </c>
      <c r="L25" s="72"/>
    </row>
    <row r="26" spans="1:12" ht="25.5" outlineLevel="1">
      <c r="A26" s="80">
        <v>14.29</v>
      </c>
      <c r="B26" s="61">
        <f>2.64+1.01+4.92</f>
        <v>8.57</v>
      </c>
      <c r="C26" s="17" t="s">
        <v>195</v>
      </c>
      <c r="D26" s="212" t="s">
        <v>73</v>
      </c>
      <c r="E26" s="213" t="s">
        <v>665</v>
      </c>
      <c r="F26" s="214" t="s">
        <v>374</v>
      </c>
      <c r="G26" s="215" t="s">
        <v>436</v>
      </c>
      <c r="H26" s="216">
        <v>28.910000000000004</v>
      </c>
      <c r="I26" s="81"/>
      <c r="J26" s="19">
        <f t="shared" si="0"/>
        <v>0</v>
      </c>
      <c r="K26" s="217" t="e">
        <f t="shared" si="1"/>
        <v>#DIV/0!</v>
      </c>
      <c r="L26" s="72"/>
    </row>
    <row r="27" spans="1:12" s="43" customFormat="1" ht="25.5" outlineLevel="1">
      <c r="A27" s="80"/>
      <c r="B27" s="72"/>
      <c r="C27" s="17" t="s">
        <v>196</v>
      </c>
      <c r="D27" s="218" t="s">
        <v>97</v>
      </c>
      <c r="E27" s="213" t="s">
        <v>665</v>
      </c>
      <c r="F27" s="214" t="s">
        <v>674</v>
      </c>
      <c r="G27" s="215" t="s">
        <v>370</v>
      </c>
      <c r="H27" s="216">
        <v>108.02</v>
      </c>
      <c r="I27" s="82"/>
      <c r="J27" s="42">
        <f t="shared" si="0"/>
        <v>0</v>
      </c>
      <c r="K27" s="220" t="e">
        <f t="shared" si="1"/>
        <v>#DIV/0!</v>
      </c>
      <c r="L27" s="72"/>
    </row>
    <row r="28" spans="1:12" ht="12.75" outlineLevel="1">
      <c r="A28" s="80">
        <v>1.66</v>
      </c>
      <c r="B28" s="61">
        <f>1.8+10.93</f>
        <v>12.73</v>
      </c>
      <c r="C28" s="17" t="s">
        <v>197</v>
      </c>
      <c r="D28" s="212" t="s">
        <v>62</v>
      </c>
      <c r="E28" s="213" t="s">
        <v>665</v>
      </c>
      <c r="F28" s="214" t="s">
        <v>375</v>
      </c>
      <c r="G28" s="215" t="s">
        <v>436</v>
      </c>
      <c r="H28" s="216">
        <v>12.36</v>
      </c>
      <c r="I28" s="81"/>
      <c r="J28" s="19">
        <f t="shared" si="0"/>
        <v>0</v>
      </c>
      <c r="K28" s="217" t="e">
        <f t="shared" si="1"/>
        <v>#DIV/0!</v>
      </c>
      <c r="L28" s="72"/>
    </row>
    <row r="29" spans="1:12" ht="25.5" outlineLevel="1">
      <c r="A29" s="80">
        <v>4.62</v>
      </c>
      <c r="B29" s="61">
        <f>3.45+8.51+1.51</f>
        <v>13.47</v>
      </c>
      <c r="C29" s="17" t="s">
        <v>198</v>
      </c>
      <c r="D29" s="212" t="s">
        <v>64</v>
      </c>
      <c r="E29" s="213" t="s">
        <v>665</v>
      </c>
      <c r="F29" s="214" t="s">
        <v>430</v>
      </c>
      <c r="G29" s="215" t="s">
        <v>436</v>
      </c>
      <c r="H29" s="216">
        <v>13.35</v>
      </c>
      <c r="I29" s="81"/>
      <c r="J29" s="19">
        <f t="shared" si="0"/>
        <v>0</v>
      </c>
      <c r="K29" s="217" t="e">
        <f t="shared" si="1"/>
        <v>#DIV/0!</v>
      </c>
      <c r="L29" s="72"/>
    </row>
    <row r="30" spans="1:12" ht="25.5" outlineLevel="1">
      <c r="A30" s="80">
        <v>4.62</v>
      </c>
      <c r="B30" s="61">
        <f>3.45+8.51+1.51</f>
        <v>13.47</v>
      </c>
      <c r="C30" s="17" t="s">
        <v>199</v>
      </c>
      <c r="D30" s="212" t="s">
        <v>61</v>
      </c>
      <c r="E30" s="213" t="s">
        <v>665</v>
      </c>
      <c r="F30" s="214" t="s">
        <v>675</v>
      </c>
      <c r="G30" s="215" t="s">
        <v>436</v>
      </c>
      <c r="H30" s="216">
        <v>13.35</v>
      </c>
      <c r="I30" s="81"/>
      <c r="J30" s="19">
        <f t="shared" si="0"/>
        <v>0</v>
      </c>
      <c r="K30" s="217" t="e">
        <f t="shared" si="1"/>
        <v>#DIV/0!</v>
      </c>
      <c r="L30" s="72"/>
    </row>
    <row r="31" spans="1:12" ht="12" customHeight="1" outlineLevel="1">
      <c r="A31" s="80">
        <v>59.94</v>
      </c>
      <c r="B31" s="61">
        <f>B30</f>
        <v>13.47</v>
      </c>
      <c r="C31" s="17" t="s">
        <v>200</v>
      </c>
      <c r="D31" s="212" t="s">
        <v>157</v>
      </c>
      <c r="E31" s="213" t="s">
        <v>665</v>
      </c>
      <c r="F31" s="214" t="s">
        <v>431</v>
      </c>
      <c r="G31" s="215" t="s">
        <v>436</v>
      </c>
      <c r="H31" s="216">
        <v>13.35</v>
      </c>
      <c r="I31" s="81"/>
      <c r="J31" s="19">
        <f t="shared" si="0"/>
        <v>0</v>
      </c>
      <c r="K31" s="217" t="e">
        <f t="shared" si="1"/>
        <v>#DIV/0!</v>
      </c>
      <c r="L31" s="72"/>
    </row>
    <row r="32" spans="1:12" ht="11.25" customHeight="1" outlineLevel="1">
      <c r="A32" s="80">
        <v>84.6</v>
      </c>
      <c r="B32" s="61">
        <f>((8*6)*2.7+2.95*2*4)-2.1*0.9*4-2*0.6*4+(2.6+1)*2</f>
        <v>148.04</v>
      </c>
      <c r="C32" s="17" t="s">
        <v>201</v>
      </c>
      <c r="D32" s="212" t="s">
        <v>78</v>
      </c>
      <c r="E32" s="213" t="s">
        <v>665</v>
      </c>
      <c r="F32" s="214" t="s">
        <v>376</v>
      </c>
      <c r="G32" s="215" t="s">
        <v>370</v>
      </c>
      <c r="H32" s="216">
        <v>148.04</v>
      </c>
      <c r="I32" s="81"/>
      <c r="J32" s="19">
        <f t="shared" si="0"/>
        <v>0</v>
      </c>
      <c r="K32" s="217" t="e">
        <f t="shared" si="1"/>
        <v>#DIV/0!</v>
      </c>
      <c r="L32" s="72"/>
    </row>
    <row r="33" spans="1:12" s="43" customFormat="1" ht="12.75" outlineLevel="1">
      <c r="A33" s="80"/>
      <c r="B33" s="72"/>
      <c r="C33" s="17" t="s">
        <v>202</v>
      </c>
      <c r="D33" s="218" t="s">
        <v>72</v>
      </c>
      <c r="E33" s="213" t="s">
        <v>665</v>
      </c>
      <c r="F33" s="214" t="s">
        <v>377</v>
      </c>
      <c r="G33" s="215" t="s">
        <v>436</v>
      </c>
      <c r="H33" s="216">
        <v>2.56</v>
      </c>
      <c r="I33" s="82"/>
      <c r="J33" s="42">
        <f t="shared" si="0"/>
        <v>0</v>
      </c>
      <c r="K33" s="220" t="e">
        <f t="shared" si="1"/>
        <v>#DIV/0!</v>
      </c>
      <c r="L33" s="72"/>
    </row>
    <row r="34" spans="1:12" ht="12.75" outlineLevel="1">
      <c r="A34" s="80">
        <v>87.01</v>
      </c>
      <c r="B34" s="61">
        <f>((15.09*2.7)-(0.9*2.1+2*0.6)+(2.95*2*2+0.15-2))*4+(8*4*2.7)-(0.9*2.1+2*0.6)*4+7.34*2</f>
        <v>279.132</v>
      </c>
      <c r="C34" s="17" t="s">
        <v>203</v>
      </c>
      <c r="D34" s="212" t="s">
        <v>80</v>
      </c>
      <c r="E34" s="213" t="s">
        <v>665</v>
      </c>
      <c r="F34" s="214" t="s">
        <v>81</v>
      </c>
      <c r="G34" s="215" t="s">
        <v>370</v>
      </c>
      <c r="H34" s="216">
        <v>279.13</v>
      </c>
      <c r="I34" s="81"/>
      <c r="J34" s="19">
        <f t="shared" si="0"/>
        <v>0</v>
      </c>
      <c r="K34" s="217" t="e">
        <f t="shared" si="1"/>
        <v>#DIV/0!</v>
      </c>
      <c r="L34" s="72"/>
    </row>
    <row r="35" spans="1:12" ht="12.75" outlineLevel="1">
      <c r="A35" s="80">
        <v>87.01</v>
      </c>
      <c r="B35" s="61">
        <f>((15.09*2.7)-(0.9*2.1+2*0.6)+(2.95*2*2+0.15-2))*4+(8*4*2.7)-(0.9*2.1+2*0.6)*4+7.34*2</f>
        <v>279.132</v>
      </c>
      <c r="C35" s="17" t="s">
        <v>204</v>
      </c>
      <c r="D35" s="212" t="s">
        <v>82</v>
      </c>
      <c r="E35" s="213" t="s">
        <v>665</v>
      </c>
      <c r="F35" s="214" t="s">
        <v>381</v>
      </c>
      <c r="G35" s="215" t="s">
        <v>370</v>
      </c>
      <c r="H35" s="216">
        <v>279.13</v>
      </c>
      <c r="I35" s="81"/>
      <c r="J35" s="19">
        <f t="shared" si="0"/>
        <v>0</v>
      </c>
      <c r="K35" s="217" t="e">
        <f t="shared" si="1"/>
        <v>#DIV/0!</v>
      </c>
      <c r="L35" s="72"/>
    </row>
    <row r="36" spans="1:12" ht="12.75" outlineLevel="1">
      <c r="A36" s="80"/>
      <c r="B36" s="61">
        <f>(8*4*2.7)-(0.9*2.1+2*0.6)*4+7.34*2</f>
        <v>88.72</v>
      </c>
      <c r="C36" s="17" t="s">
        <v>205</v>
      </c>
      <c r="D36" s="212" t="s">
        <v>83</v>
      </c>
      <c r="E36" s="213" t="s">
        <v>665</v>
      </c>
      <c r="F36" s="214" t="s">
        <v>84</v>
      </c>
      <c r="G36" s="215" t="s">
        <v>370</v>
      </c>
      <c r="H36" s="216">
        <v>88.72</v>
      </c>
      <c r="I36" s="81"/>
      <c r="J36" s="19">
        <f t="shared" si="0"/>
        <v>0</v>
      </c>
      <c r="K36" s="217" t="e">
        <f t="shared" si="1"/>
        <v>#DIV/0!</v>
      </c>
      <c r="L36" s="72"/>
    </row>
    <row r="37" spans="1:12" ht="38.25" outlineLevel="1">
      <c r="A37" s="80">
        <v>108</v>
      </c>
      <c r="B37" s="61">
        <f>((15.09*2.7)-(0.9*2.1+2*0.6)+(2.95*2*2+0.15-2))*4</f>
        <v>190.41200000000003</v>
      </c>
      <c r="C37" s="17" t="s">
        <v>206</v>
      </c>
      <c r="D37" s="212" t="s">
        <v>160</v>
      </c>
      <c r="E37" s="213" t="s">
        <v>665</v>
      </c>
      <c r="F37" s="214" t="s">
        <v>382</v>
      </c>
      <c r="G37" s="215" t="s">
        <v>370</v>
      </c>
      <c r="H37" s="216">
        <v>190.41</v>
      </c>
      <c r="I37" s="81"/>
      <c r="J37" s="19">
        <f t="shared" si="0"/>
        <v>0</v>
      </c>
      <c r="K37" s="217" t="e">
        <f t="shared" si="1"/>
        <v>#DIV/0!</v>
      </c>
      <c r="L37" s="72"/>
    </row>
    <row r="38" spans="1:12" ht="39" customHeight="1" outlineLevel="1">
      <c r="A38" s="80">
        <v>45</v>
      </c>
      <c r="B38" s="61">
        <f>(14.23-0.44)*4</f>
        <v>55.160000000000004</v>
      </c>
      <c r="C38" s="17" t="s">
        <v>207</v>
      </c>
      <c r="D38" s="9" t="s">
        <v>159</v>
      </c>
      <c r="E38" s="213" t="s">
        <v>665</v>
      </c>
      <c r="F38" s="214" t="s">
        <v>676</v>
      </c>
      <c r="G38" s="215" t="s">
        <v>370</v>
      </c>
      <c r="H38" s="216">
        <v>55.16</v>
      </c>
      <c r="I38" s="81"/>
      <c r="J38" s="19">
        <f t="shared" si="0"/>
        <v>0</v>
      </c>
      <c r="K38" s="217" t="e">
        <f t="shared" si="1"/>
        <v>#DIV/0!</v>
      </c>
      <c r="L38" s="72"/>
    </row>
    <row r="39" spans="1:12" ht="25.5" outlineLevel="1">
      <c r="A39" s="80">
        <v>45</v>
      </c>
      <c r="B39" s="61">
        <f>(14.23-0.44)*4</f>
        <v>55.160000000000004</v>
      </c>
      <c r="C39" s="17" t="s">
        <v>208</v>
      </c>
      <c r="D39" s="21" t="s">
        <v>85</v>
      </c>
      <c r="E39" s="213" t="s">
        <v>665</v>
      </c>
      <c r="F39" s="214" t="s">
        <v>383</v>
      </c>
      <c r="G39" s="215" t="s">
        <v>370</v>
      </c>
      <c r="H39" s="216">
        <v>55.16</v>
      </c>
      <c r="I39" s="81"/>
      <c r="J39" s="19">
        <f t="shared" si="0"/>
        <v>0</v>
      </c>
      <c r="K39" s="217" t="e">
        <f t="shared" si="1"/>
        <v>#DIV/0!</v>
      </c>
      <c r="L39" s="72"/>
    </row>
    <row r="40" spans="1:12" ht="25.5" outlineLevel="1">
      <c r="A40" s="80">
        <v>2.8</v>
      </c>
      <c r="C40" s="17" t="s">
        <v>209</v>
      </c>
      <c r="D40" s="21" t="s">
        <v>312</v>
      </c>
      <c r="E40" s="213" t="s">
        <v>665</v>
      </c>
      <c r="F40" s="214" t="s">
        <v>677</v>
      </c>
      <c r="G40" s="215" t="s">
        <v>19</v>
      </c>
      <c r="H40" s="216">
        <v>3.6</v>
      </c>
      <c r="I40" s="81"/>
      <c r="J40" s="19">
        <f t="shared" si="0"/>
        <v>0</v>
      </c>
      <c r="K40" s="217" t="e">
        <f t="shared" si="1"/>
        <v>#DIV/0!</v>
      </c>
      <c r="L40" s="72"/>
    </row>
    <row r="41" spans="1:12" ht="12.75" outlineLevel="1">
      <c r="A41" s="80">
        <v>2.8</v>
      </c>
      <c r="B41" s="61">
        <f>2*0.6*4</f>
        <v>4.8</v>
      </c>
      <c r="C41" s="17" t="s">
        <v>210</v>
      </c>
      <c r="D41" s="21" t="s">
        <v>87</v>
      </c>
      <c r="E41" s="213" t="s">
        <v>665</v>
      </c>
      <c r="F41" s="214" t="s">
        <v>384</v>
      </c>
      <c r="G41" s="215" t="s">
        <v>370</v>
      </c>
      <c r="H41" s="216">
        <v>6.4</v>
      </c>
      <c r="I41" s="81"/>
      <c r="J41" s="19">
        <f t="shared" si="0"/>
        <v>0</v>
      </c>
      <c r="K41" s="217" t="e">
        <f t="shared" si="1"/>
        <v>#DIV/0!</v>
      </c>
      <c r="L41" s="72"/>
    </row>
    <row r="42" spans="1:12" ht="12.75" outlineLevel="1">
      <c r="A42" s="80"/>
      <c r="B42" s="61">
        <f>2*0.6*4</f>
        <v>4.8</v>
      </c>
      <c r="C42" s="17" t="s">
        <v>211</v>
      </c>
      <c r="D42" s="21" t="s">
        <v>90</v>
      </c>
      <c r="E42" s="213" t="s">
        <v>665</v>
      </c>
      <c r="F42" s="214" t="s">
        <v>385</v>
      </c>
      <c r="G42" s="215" t="s">
        <v>370</v>
      </c>
      <c r="H42" s="216">
        <v>6.4</v>
      </c>
      <c r="I42" s="81"/>
      <c r="J42" s="19">
        <f t="shared" si="0"/>
        <v>0</v>
      </c>
      <c r="K42" s="217" t="e">
        <f t="shared" si="1"/>
        <v>#DIV/0!</v>
      </c>
      <c r="L42" s="72"/>
    </row>
    <row r="43" spans="1:12" ht="25.5" outlineLevel="1">
      <c r="A43" s="80"/>
      <c r="B43" s="61">
        <f>2*0.6*4</f>
        <v>4.8</v>
      </c>
      <c r="C43" s="17" t="s">
        <v>212</v>
      </c>
      <c r="D43" s="21">
        <v>80280</v>
      </c>
      <c r="E43" s="213" t="s">
        <v>479</v>
      </c>
      <c r="F43" s="214" t="s">
        <v>386</v>
      </c>
      <c r="G43" s="215" t="s">
        <v>370</v>
      </c>
      <c r="H43" s="216">
        <v>6.4</v>
      </c>
      <c r="I43" s="81"/>
      <c r="J43" s="19">
        <f t="shared" si="0"/>
        <v>0</v>
      </c>
      <c r="K43" s="217" t="e">
        <f t="shared" si="1"/>
        <v>#DIV/0!</v>
      </c>
      <c r="L43" s="72"/>
    </row>
    <row r="44" spans="1:12" ht="12.75" outlineLevel="1">
      <c r="A44" s="80"/>
      <c r="B44" s="61">
        <f>2*0.6*4</f>
        <v>4.8</v>
      </c>
      <c r="C44" s="17" t="s">
        <v>213</v>
      </c>
      <c r="D44" s="51">
        <v>80275</v>
      </c>
      <c r="E44" s="213" t="s">
        <v>479</v>
      </c>
      <c r="F44" s="214" t="s">
        <v>387</v>
      </c>
      <c r="G44" s="215" t="s">
        <v>370</v>
      </c>
      <c r="H44" s="216">
        <v>6.4</v>
      </c>
      <c r="I44" s="81"/>
      <c r="J44" s="19">
        <f t="shared" si="0"/>
        <v>0</v>
      </c>
      <c r="K44" s="217" t="e">
        <f t="shared" si="1"/>
        <v>#DIV/0!</v>
      </c>
      <c r="L44" s="72"/>
    </row>
    <row r="45" spans="1:12" ht="12.75" outlineLevel="1">
      <c r="A45" s="80"/>
      <c r="C45" s="17" t="s">
        <v>214</v>
      </c>
      <c r="D45" s="212">
        <v>60130</v>
      </c>
      <c r="E45" s="213" t="s">
        <v>479</v>
      </c>
      <c r="F45" s="214" t="s">
        <v>378</v>
      </c>
      <c r="G45" s="215" t="s">
        <v>60</v>
      </c>
      <c r="H45" s="216">
        <v>960.4000000000001</v>
      </c>
      <c r="I45" s="81"/>
      <c r="J45" s="19">
        <f t="shared" si="0"/>
        <v>0</v>
      </c>
      <c r="K45" s="217" t="e">
        <f t="shared" si="1"/>
        <v>#DIV/0!</v>
      </c>
      <c r="L45" s="72"/>
    </row>
    <row r="46" spans="1:12" ht="12.75" outlineLevel="1">
      <c r="A46" s="80"/>
      <c r="C46" s="17" t="s">
        <v>215</v>
      </c>
      <c r="D46" s="212">
        <v>60131</v>
      </c>
      <c r="E46" s="213" t="s">
        <v>479</v>
      </c>
      <c r="F46" s="214" t="s">
        <v>379</v>
      </c>
      <c r="G46" s="215" t="s">
        <v>60</v>
      </c>
      <c r="H46" s="216">
        <v>960.4000000000001</v>
      </c>
      <c r="I46" s="81"/>
      <c r="J46" s="19">
        <f t="shared" si="0"/>
        <v>0</v>
      </c>
      <c r="K46" s="217" t="e">
        <f t="shared" si="1"/>
        <v>#DIV/0!</v>
      </c>
      <c r="L46" s="72"/>
    </row>
    <row r="47" spans="1:12" ht="38.25" outlineLevel="1">
      <c r="A47" s="80"/>
      <c r="B47" s="61">
        <v>96.04</v>
      </c>
      <c r="C47" s="17" t="s">
        <v>216</v>
      </c>
      <c r="D47" s="212" t="s">
        <v>186</v>
      </c>
      <c r="E47" s="213" t="s">
        <v>666</v>
      </c>
      <c r="F47" s="214" t="s">
        <v>380</v>
      </c>
      <c r="G47" s="215" t="s">
        <v>370</v>
      </c>
      <c r="H47" s="216">
        <v>96.04</v>
      </c>
      <c r="I47" s="81"/>
      <c r="J47" s="19">
        <f t="shared" si="0"/>
        <v>0</v>
      </c>
      <c r="K47" s="217" t="e">
        <f t="shared" si="1"/>
        <v>#DIV/0!</v>
      </c>
      <c r="L47" s="72"/>
    </row>
    <row r="48" spans="1:12" ht="25.5" outlineLevel="1">
      <c r="A48" s="80"/>
      <c r="B48" s="61">
        <f>1.8+10.93</f>
        <v>12.73</v>
      </c>
      <c r="C48" s="17" t="s">
        <v>217</v>
      </c>
      <c r="D48" s="212" t="s">
        <v>480</v>
      </c>
      <c r="E48" s="213" t="s">
        <v>666</v>
      </c>
      <c r="F48" s="214" t="s">
        <v>678</v>
      </c>
      <c r="G48" s="215" t="s">
        <v>19</v>
      </c>
      <c r="H48" s="216">
        <v>31.03</v>
      </c>
      <c r="I48" s="81"/>
      <c r="J48" s="19">
        <f aca="true" t="shared" si="2" ref="J48:J79">ROUND(_xlfn.IFERROR(H48*I48," - "),2)</f>
        <v>0</v>
      </c>
      <c r="K48" s="217" t="e">
        <f aca="true" t="shared" si="3" ref="K48:K79">J48/$I$394</f>
        <v>#DIV/0!</v>
      </c>
      <c r="L48" s="72"/>
    </row>
    <row r="49" spans="1:12" ht="25.5" outlineLevel="1">
      <c r="A49" s="80"/>
      <c r="B49" s="61">
        <f>3.45+8.51+1.51</f>
        <v>13.47</v>
      </c>
      <c r="C49" s="17" t="s">
        <v>218</v>
      </c>
      <c r="D49" s="212" t="s">
        <v>481</v>
      </c>
      <c r="E49" s="213" t="s">
        <v>666</v>
      </c>
      <c r="F49" s="214" t="s">
        <v>679</v>
      </c>
      <c r="G49" s="215" t="s">
        <v>19</v>
      </c>
      <c r="H49" s="216">
        <v>17.31</v>
      </c>
      <c r="I49" s="81"/>
      <c r="J49" s="19">
        <f t="shared" si="2"/>
        <v>0</v>
      </c>
      <c r="K49" s="217" t="e">
        <f t="shared" si="3"/>
        <v>#DIV/0!</v>
      </c>
      <c r="L49" s="72"/>
    </row>
    <row r="50" spans="1:12" ht="12.75" outlineLevel="1">
      <c r="A50" s="80">
        <v>52.3</v>
      </c>
      <c r="B50" s="80"/>
      <c r="C50" s="17" t="s">
        <v>219</v>
      </c>
      <c r="D50" s="21" t="s">
        <v>482</v>
      </c>
      <c r="E50" s="213" t="s">
        <v>666</v>
      </c>
      <c r="F50" s="214" t="s">
        <v>680</v>
      </c>
      <c r="G50" s="215" t="s">
        <v>23</v>
      </c>
      <c r="H50" s="216">
        <v>8</v>
      </c>
      <c r="I50" s="81"/>
      <c r="J50" s="19">
        <f t="shared" si="2"/>
        <v>0</v>
      </c>
      <c r="K50" s="217" t="e">
        <f t="shared" si="3"/>
        <v>#DIV/0!</v>
      </c>
      <c r="L50" s="72"/>
    </row>
    <row r="51" spans="1:12" ht="25.5" outlineLevel="1">
      <c r="A51" s="80">
        <v>52.3</v>
      </c>
      <c r="B51" s="80">
        <v>52.3</v>
      </c>
      <c r="C51" s="17" t="s">
        <v>220</v>
      </c>
      <c r="D51" s="21">
        <v>86884</v>
      </c>
      <c r="E51" s="213" t="s">
        <v>664</v>
      </c>
      <c r="F51" s="214" t="s">
        <v>681</v>
      </c>
      <c r="G51" s="215" t="s">
        <v>23</v>
      </c>
      <c r="H51" s="216">
        <v>8</v>
      </c>
      <c r="I51" s="81"/>
      <c r="J51" s="19">
        <f t="shared" si="2"/>
        <v>0</v>
      </c>
      <c r="K51" s="217" t="e">
        <f t="shared" si="3"/>
        <v>#DIV/0!</v>
      </c>
      <c r="L51" s="72"/>
    </row>
    <row r="52" spans="1:12" ht="25.5" outlineLevel="1">
      <c r="A52" s="80">
        <v>52.3</v>
      </c>
      <c r="B52" s="80">
        <v>52.3</v>
      </c>
      <c r="C52" s="17" t="s">
        <v>221</v>
      </c>
      <c r="D52" s="21" t="s">
        <v>127</v>
      </c>
      <c r="E52" s="213" t="s">
        <v>665</v>
      </c>
      <c r="F52" s="214" t="s">
        <v>388</v>
      </c>
      <c r="G52" s="215" t="s">
        <v>19</v>
      </c>
      <c r="H52" s="216">
        <v>52.3</v>
      </c>
      <c r="I52" s="81"/>
      <c r="J52" s="19">
        <f t="shared" si="2"/>
        <v>0</v>
      </c>
      <c r="K52" s="217" t="e">
        <f t="shared" si="3"/>
        <v>#DIV/0!</v>
      </c>
      <c r="L52" s="72"/>
    </row>
    <row r="53" spans="1:12" ht="25.5" outlineLevel="1">
      <c r="A53" s="80">
        <v>28.5</v>
      </c>
      <c r="B53" s="80">
        <v>28.5</v>
      </c>
      <c r="C53" s="17" t="s">
        <v>222</v>
      </c>
      <c r="D53" s="21" t="s">
        <v>128</v>
      </c>
      <c r="E53" s="213" t="s">
        <v>665</v>
      </c>
      <c r="F53" s="214" t="s">
        <v>389</v>
      </c>
      <c r="G53" s="215" t="s">
        <v>19</v>
      </c>
      <c r="H53" s="216">
        <v>28.5</v>
      </c>
      <c r="I53" s="81"/>
      <c r="J53" s="19">
        <f t="shared" si="2"/>
        <v>0</v>
      </c>
      <c r="K53" s="217" t="e">
        <f t="shared" si="3"/>
        <v>#DIV/0!</v>
      </c>
      <c r="L53" s="72"/>
    </row>
    <row r="54" spans="1:12" ht="25.5" outlineLevel="1">
      <c r="A54" s="80">
        <v>52</v>
      </c>
      <c r="B54" s="80">
        <v>52</v>
      </c>
      <c r="C54" s="17" t="s">
        <v>223</v>
      </c>
      <c r="D54" s="21" t="s">
        <v>129</v>
      </c>
      <c r="E54" s="213" t="s">
        <v>665</v>
      </c>
      <c r="F54" s="214" t="s">
        <v>682</v>
      </c>
      <c r="G54" s="215" t="s">
        <v>19</v>
      </c>
      <c r="H54" s="216">
        <v>56.38</v>
      </c>
      <c r="I54" s="81"/>
      <c r="J54" s="19">
        <f t="shared" si="2"/>
        <v>0</v>
      </c>
      <c r="K54" s="217" t="e">
        <f t="shared" si="3"/>
        <v>#DIV/0!</v>
      </c>
      <c r="L54" s="72"/>
    </row>
    <row r="55" spans="1:12" ht="25.5" outlineLevel="1">
      <c r="A55" s="80">
        <v>52</v>
      </c>
      <c r="B55" s="80">
        <v>52</v>
      </c>
      <c r="C55" s="17" t="s">
        <v>224</v>
      </c>
      <c r="D55" s="21" t="s">
        <v>130</v>
      </c>
      <c r="E55" s="213" t="s">
        <v>665</v>
      </c>
      <c r="F55" s="214" t="s">
        <v>390</v>
      </c>
      <c r="G55" s="215" t="s">
        <v>19</v>
      </c>
      <c r="H55" s="216">
        <v>31.29</v>
      </c>
      <c r="I55" s="81"/>
      <c r="J55" s="19">
        <f t="shared" si="2"/>
        <v>0</v>
      </c>
      <c r="K55" s="217" t="e">
        <f t="shared" si="3"/>
        <v>#DIV/0!</v>
      </c>
      <c r="L55" s="72"/>
    </row>
    <row r="56" spans="1:12" ht="25.5" outlineLevel="1">
      <c r="A56" s="80">
        <v>44.5</v>
      </c>
      <c r="B56" s="80">
        <v>44.5</v>
      </c>
      <c r="C56" s="17" t="s">
        <v>225</v>
      </c>
      <c r="D56" s="21" t="s">
        <v>131</v>
      </c>
      <c r="E56" s="213" t="s">
        <v>665</v>
      </c>
      <c r="F56" s="214" t="s">
        <v>391</v>
      </c>
      <c r="G56" s="215" t="s">
        <v>19</v>
      </c>
      <c r="H56" s="216">
        <v>44.5</v>
      </c>
      <c r="I56" s="81"/>
      <c r="J56" s="19">
        <f t="shared" si="2"/>
        <v>0</v>
      </c>
      <c r="K56" s="217" t="e">
        <f t="shared" si="3"/>
        <v>#DIV/0!</v>
      </c>
      <c r="L56" s="72"/>
    </row>
    <row r="57" spans="1:12" ht="38.25" outlineLevel="1">
      <c r="A57" s="80">
        <v>34.8</v>
      </c>
      <c r="B57" s="80">
        <v>34.8</v>
      </c>
      <c r="C57" s="17" t="s">
        <v>226</v>
      </c>
      <c r="D57" s="21" t="s">
        <v>132</v>
      </c>
      <c r="E57" s="213" t="s">
        <v>665</v>
      </c>
      <c r="F57" s="214" t="s">
        <v>683</v>
      </c>
      <c r="G57" s="215" t="s">
        <v>19</v>
      </c>
      <c r="H57" s="216">
        <v>53.14</v>
      </c>
      <c r="I57" s="81"/>
      <c r="J57" s="19">
        <f t="shared" si="2"/>
        <v>0</v>
      </c>
      <c r="K57" s="217" t="e">
        <f t="shared" si="3"/>
        <v>#DIV/0!</v>
      </c>
      <c r="L57" s="72"/>
    </row>
    <row r="58" spans="1:12" ht="38.25" outlineLevel="1">
      <c r="A58" s="80">
        <v>34.8</v>
      </c>
      <c r="B58" s="80">
        <v>34.8</v>
      </c>
      <c r="C58" s="17" t="s">
        <v>227</v>
      </c>
      <c r="D58" s="21" t="s">
        <v>133</v>
      </c>
      <c r="E58" s="213" t="s">
        <v>665</v>
      </c>
      <c r="F58" s="214" t="s">
        <v>392</v>
      </c>
      <c r="G58" s="215" t="s">
        <v>19</v>
      </c>
      <c r="H58" s="216">
        <v>34.8</v>
      </c>
      <c r="I58" s="81"/>
      <c r="J58" s="19">
        <f t="shared" si="2"/>
        <v>0</v>
      </c>
      <c r="K58" s="217" t="e">
        <f t="shared" si="3"/>
        <v>#DIV/0!</v>
      </c>
      <c r="L58" s="72"/>
    </row>
    <row r="59" spans="1:12" ht="38.25" outlineLevel="1">
      <c r="A59" s="80">
        <v>56.8</v>
      </c>
      <c r="B59" s="80">
        <v>56.8</v>
      </c>
      <c r="C59" s="17" t="s">
        <v>228</v>
      </c>
      <c r="D59" s="21" t="s">
        <v>134</v>
      </c>
      <c r="E59" s="213" t="s">
        <v>665</v>
      </c>
      <c r="F59" s="214" t="s">
        <v>393</v>
      </c>
      <c r="G59" s="215" t="s">
        <v>19</v>
      </c>
      <c r="H59" s="216">
        <v>56.8</v>
      </c>
      <c r="I59" s="81"/>
      <c r="J59" s="19">
        <f t="shared" si="2"/>
        <v>0</v>
      </c>
      <c r="K59" s="217" t="e">
        <f t="shared" si="3"/>
        <v>#DIV/0!</v>
      </c>
      <c r="L59" s="72"/>
    </row>
    <row r="60" spans="1:12" ht="25.5" customHeight="1" outlineLevel="1">
      <c r="A60" s="80"/>
      <c r="B60" s="61">
        <f>5*4</f>
        <v>20</v>
      </c>
      <c r="C60" s="17" t="s">
        <v>229</v>
      </c>
      <c r="D60" s="21" t="s">
        <v>144</v>
      </c>
      <c r="E60" s="213" t="s">
        <v>665</v>
      </c>
      <c r="F60" s="214" t="s">
        <v>394</v>
      </c>
      <c r="G60" s="215" t="s">
        <v>23</v>
      </c>
      <c r="H60" s="216">
        <v>12</v>
      </c>
      <c r="I60" s="81"/>
      <c r="J60" s="19">
        <f t="shared" si="2"/>
        <v>0</v>
      </c>
      <c r="K60" s="217" t="e">
        <f t="shared" si="3"/>
        <v>#DIV/0!</v>
      </c>
      <c r="L60" s="72"/>
    </row>
    <row r="61" spans="1:12" ht="13.5" customHeight="1" outlineLevel="1">
      <c r="A61" s="80">
        <v>4</v>
      </c>
      <c r="B61" s="80">
        <v>4</v>
      </c>
      <c r="C61" s="17" t="s">
        <v>230</v>
      </c>
      <c r="D61" s="21" t="s">
        <v>139</v>
      </c>
      <c r="E61" s="213" t="s">
        <v>665</v>
      </c>
      <c r="F61" s="214" t="s">
        <v>395</v>
      </c>
      <c r="G61" s="215" t="s">
        <v>23</v>
      </c>
      <c r="H61" s="216">
        <v>4</v>
      </c>
      <c r="I61" s="81"/>
      <c r="J61" s="19">
        <f t="shared" si="2"/>
        <v>0</v>
      </c>
      <c r="K61" s="217" t="e">
        <f t="shared" si="3"/>
        <v>#DIV/0!</v>
      </c>
      <c r="L61" s="72"/>
    </row>
    <row r="62" spans="1:12" ht="25.5" outlineLevel="1">
      <c r="A62" s="80">
        <v>4</v>
      </c>
      <c r="B62" s="80">
        <v>4</v>
      </c>
      <c r="C62" s="17" t="s">
        <v>231</v>
      </c>
      <c r="D62" s="21" t="s">
        <v>140</v>
      </c>
      <c r="E62" s="213" t="s">
        <v>665</v>
      </c>
      <c r="F62" s="214" t="s">
        <v>396</v>
      </c>
      <c r="G62" s="215" t="s">
        <v>23</v>
      </c>
      <c r="H62" s="216">
        <v>4</v>
      </c>
      <c r="I62" s="81"/>
      <c r="J62" s="19">
        <f t="shared" si="2"/>
        <v>0</v>
      </c>
      <c r="K62" s="217" t="e">
        <f t="shared" si="3"/>
        <v>#DIV/0!</v>
      </c>
      <c r="L62" s="72"/>
    </row>
    <row r="63" spans="1:12" ht="25.5" outlineLevel="1">
      <c r="A63" s="80">
        <v>5</v>
      </c>
      <c r="B63" s="80">
        <v>5</v>
      </c>
      <c r="C63" s="17" t="s">
        <v>314</v>
      </c>
      <c r="D63" s="21" t="s">
        <v>141</v>
      </c>
      <c r="E63" s="213" t="s">
        <v>665</v>
      </c>
      <c r="F63" s="214" t="s">
        <v>684</v>
      </c>
      <c r="G63" s="215" t="s">
        <v>23</v>
      </c>
      <c r="H63" s="216">
        <v>4</v>
      </c>
      <c r="I63" s="81"/>
      <c r="J63" s="19">
        <f t="shared" si="2"/>
        <v>0</v>
      </c>
      <c r="K63" s="217" t="e">
        <f t="shared" si="3"/>
        <v>#DIV/0!</v>
      </c>
      <c r="L63" s="72"/>
    </row>
    <row r="64" spans="1:12" ht="25.5" outlineLevel="1">
      <c r="A64" s="80">
        <v>5</v>
      </c>
      <c r="B64" s="80">
        <v>5</v>
      </c>
      <c r="C64" s="17" t="s">
        <v>315</v>
      </c>
      <c r="D64" s="21" t="s">
        <v>142</v>
      </c>
      <c r="E64" s="213" t="s">
        <v>665</v>
      </c>
      <c r="F64" s="214" t="s">
        <v>397</v>
      </c>
      <c r="G64" s="215" t="s">
        <v>23</v>
      </c>
      <c r="H64" s="216">
        <v>4</v>
      </c>
      <c r="I64" s="81"/>
      <c r="J64" s="19">
        <f t="shared" si="2"/>
        <v>0</v>
      </c>
      <c r="K64" s="217" t="e">
        <f t="shared" si="3"/>
        <v>#DIV/0!</v>
      </c>
      <c r="L64" s="72"/>
    </row>
    <row r="65" spans="1:12" ht="12.75" outlineLevel="1">
      <c r="A65" s="82">
        <v>8</v>
      </c>
      <c r="B65" s="61">
        <v>4</v>
      </c>
      <c r="C65" s="17" t="s">
        <v>316</v>
      </c>
      <c r="D65" s="21" t="s">
        <v>188</v>
      </c>
      <c r="E65" s="213" t="s">
        <v>666</v>
      </c>
      <c r="F65" s="214" t="s">
        <v>425</v>
      </c>
      <c r="G65" s="215" t="s">
        <v>54</v>
      </c>
      <c r="H65" s="219">
        <v>4</v>
      </c>
      <c r="I65" s="81"/>
      <c r="J65" s="19">
        <f t="shared" si="2"/>
        <v>0</v>
      </c>
      <c r="K65" s="217" t="e">
        <f t="shared" si="3"/>
        <v>#DIV/0!</v>
      </c>
      <c r="L65" s="72"/>
    </row>
    <row r="66" spans="1:12" ht="12.75" outlineLevel="1">
      <c r="A66" s="82">
        <v>8</v>
      </c>
      <c r="B66" s="61">
        <v>4</v>
      </c>
      <c r="C66" s="17" t="s">
        <v>317</v>
      </c>
      <c r="D66" s="21" t="s">
        <v>123</v>
      </c>
      <c r="E66" s="213" t="s">
        <v>665</v>
      </c>
      <c r="F66" s="214" t="s">
        <v>398</v>
      </c>
      <c r="G66" s="215" t="s">
        <v>23</v>
      </c>
      <c r="H66" s="219">
        <v>4</v>
      </c>
      <c r="I66" s="81"/>
      <c r="J66" s="19">
        <f t="shared" si="2"/>
        <v>0</v>
      </c>
      <c r="K66" s="217" t="e">
        <f t="shared" si="3"/>
        <v>#DIV/0!</v>
      </c>
      <c r="L66" s="72"/>
    </row>
    <row r="67" spans="1:12" ht="12.75" outlineLevel="1">
      <c r="A67" s="82">
        <v>8</v>
      </c>
      <c r="B67" s="61">
        <v>4</v>
      </c>
      <c r="C67" s="17" t="s">
        <v>318</v>
      </c>
      <c r="D67" s="20" t="s">
        <v>125</v>
      </c>
      <c r="E67" s="213" t="s">
        <v>665</v>
      </c>
      <c r="F67" s="214" t="s">
        <v>685</v>
      </c>
      <c r="G67" s="215" t="s">
        <v>23</v>
      </c>
      <c r="H67" s="219">
        <v>4</v>
      </c>
      <c r="I67" s="81"/>
      <c r="J67" s="19">
        <f t="shared" si="2"/>
        <v>0</v>
      </c>
      <c r="K67" s="217" t="e">
        <f t="shared" si="3"/>
        <v>#DIV/0!</v>
      </c>
      <c r="L67" s="72"/>
    </row>
    <row r="68" spans="1:12" ht="12.75" outlineLevel="1">
      <c r="A68" s="82">
        <v>8</v>
      </c>
      <c r="B68" s="61">
        <v>4</v>
      </c>
      <c r="C68" s="17" t="s">
        <v>319</v>
      </c>
      <c r="D68" s="20" t="s">
        <v>126</v>
      </c>
      <c r="E68" s="213" t="s">
        <v>665</v>
      </c>
      <c r="F68" s="214" t="s">
        <v>399</v>
      </c>
      <c r="G68" s="215" t="s">
        <v>23</v>
      </c>
      <c r="H68" s="219">
        <v>4</v>
      </c>
      <c r="I68" s="81"/>
      <c r="J68" s="19">
        <f t="shared" si="2"/>
        <v>0</v>
      </c>
      <c r="K68" s="217" t="e">
        <f t="shared" si="3"/>
        <v>#DIV/0!</v>
      </c>
      <c r="L68" s="72"/>
    </row>
    <row r="69" spans="1:12" ht="13.5" customHeight="1" outlineLevel="1">
      <c r="A69" s="82">
        <v>4</v>
      </c>
      <c r="B69" s="61">
        <v>4</v>
      </c>
      <c r="C69" s="17" t="s">
        <v>320</v>
      </c>
      <c r="D69" s="20" t="s">
        <v>147</v>
      </c>
      <c r="E69" s="213" t="s">
        <v>665</v>
      </c>
      <c r="F69" s="214" t="s">
        <v>400</v>
      </c>
      <c r="G69" s="215" t="s">
        <v>23</v>
      </c>
      <c r="H69" s="219">
        <v>4</v>
      </c>
      <c r="I69" s="81"/>
      <c r="J69" s="19">
        <f t="shared" si="2"/>
        <v>0</v>
      </c>
      <c r="K69" s="217" t="e">
        <f t="shared" si="3"/>
        <v>#DIV/0!</v>
      </c>
      <c r="L69" s="72"/>
    </row>
    <row r="70" spans="1:12" ht="12.75" outlineLevel="1">
      <c r="A70" s="82">
        <v>4</v>
      </c>
      <c r="B70" s="61">
        <v>4</v>
      </c>
      <c r="C70" s="17" t="s">
        <v>321</v>
      </c>
      <c r="D70" s="20" t="s">
        <v>149</v>
      </c>
      <c r="E70" s="213" t="s">
        <v>665</v>
      </c>
      <c r="F70" s="214" t="s">
        <v>401</v>
      </c>
      <c r="G70" s="215" t="s">
        <v>23</v>
      </c>
      <c r="H70" s="219">
        <v>16</v>
      </c>
      <c r="I70" s="81"/>
      <c r="J70" s="19">
        <f t="shared" si="2"/>
        <v>0</v>
      </c>
      <c r="K70" s="217" t="e">
        <f t="shared" si="3"/>
        <v>#DIV/0!</v>
      </c>
      <c r="L70" s="72"/>
    </row>
    <row r="71" spans="1:12" ht="25.5" outlineLevel="1">
      <c r="A71" s="82">
        <v>4</v>
      </c>
      <c r="B71" s="61">
        <v>4</v>
      </c>
      <c r="C71" s="17" t="s">
        <v>322</v>
      </c>
      <c r="D71" s="18" t="s">
        <v>124</v>
      </c>
      <c r="E71" s="213" t="s">
        <v>665</v>
      </c>
      <c r="F71" s="214" t="s">
        <v>402</v>
      </c>
      <c r="G71" s="215" t="s">
        <v>54</v>
      </c>
      <c r="H71" s="219">
        <v>6</v>
      </c>
      <c r="I71" s="81"/>
      <c r="J71" s="19">
        <f t="shared" si="2"/>
        <v>0</v>
      </c>
      <c r="K71" s="217" t="e">
        <f t="shared" si="3"/>
        <v>#DIV/0!</v>
      </c>
      <c r="L71" s="72"/>
    </row>
    <row r="72" spans="1:12" ht="25.5" outlineLevel="1">
      <c r="A72" s="81">
        <v>4</v>
      </c>
      <c r="B72" s="61">
        <v>4</v>
      </c>
      <c r="C72" s="17" t="s">
        <v>323</v>
      </c>
      <c r="D72" s="18">
        <v>100858</v>
      </c>
      <c r="E72" s="213" t="s">
        <v>664</v>
      </c>
      <c r="F72" s="214" t="s">
        <v>686</v>
      </c>
      <c r="G72" s="215" t="s">
        <v>23</v>
      </c>
      <c r="H72" s="219">
        <v>4</v>
      </c>
      <c r="I72" s="81"/>
      <c r="J72" s="19">
        <f t="shared" si="2"/>
        <v>0</v>
      </c>
      <c r="K72" s="217" t="e">
        <f t="shared" si="3"/>
        <v>#DIV/0!</v>
      </c>
      <c r="L72" s="72"/>
    </row>
    <row r="73" spans="1:12" ht="12.75" outlineLevel="1">
      <c r="A73" s="81">
        <v>4</v>
      </c>
      <c r="B73" s="61">
        <v>4</v>
      </c>
      <c r="C73" s="17" t="s">
        <v>324</v>
      </c>
      <c r="D73" s="18" t="s">
        <v>145</v>
      </c>
      <c r="E73" s="213" t="s">
        <v>665</v>
      </c>
      <c r="F73" s="214" t="s">
        <v>687</v>
      </c>
      <c r="G73" s="215" t="s">
        <v>23</v>
      </c>
      <c r="H73" s="219">
        <v>4</v>
      </c>
      <c r="I73" s="81"/>
      <c r="J73" s="19">
        <f t="shared" si="2"/>
        <v>0</v>
      </c>
      <c r="K73" s="217" t="e">
        <f t="shared" si="3"/>
        <v>#DIV/0!</v>
      </c>
      <c r="L73" s="72"/>
    </row>
    <row r="74" spans="1:12" ht="12.75" outlineLevel="1">
      <c r="A74" s="82">
        <v>16</v>
      </c>
      <c r="B74" s="61">
        <f>1.3*1.9*4+0.5*1.2*8+0.95*1.9*16+3.78*1.9*4-(0.6*1.9*20)</f>
        <v>49.488</v>
      </c>
      <c r="C74" s="17" t="s">
        <v>325</v>
      </c>
      <c r="D74" s="20" t="s">
        <v>79</v>
      </c>
      <c r="E74" s="213" t="s">
        <v>665</v>
      </c>
      <c r="F74" s="214" t="s">
        <v>403</v>
      </c>
      <c r="G74" s="215" t="s">
        <v>370</v>
      </c>
      <c r="H74" s="219">
        <v>32.82</v>
      </c>
      <c r="I74" s="81"/>
      <c r="J74" s="19">
        <f t="shared" si="2"/>
        <v>0</v>
      </c>
      <c r="K74" s="217" t="e">
        <f t="shared" si="3"/>
        <v>#DIV/0!</v>
      </c>
      <c r="L74" s="72"/>
    </row>
    <row r="75" spans="1:12" ht="25.5" outlineLevel="1">
      <c r="A75" s="82">
        <v>24</v>
      </c>
      <c r="B75" s="61">
        <f>6*4</f>
        <v>24</v>
      </c>
      <c r="C75" s="17" t="s">
        <v>363</v>
      </c>
      <c r="D75" s="212" t="s">
        <v>86</v>
      </c>
      <c r="E75" s="213" t="s">
        <v>665</v>
      </c>
      <c r="F75" s="214" t="s">
        <v>404</v>
      </c>
      <c r="G75" s="215" t="s">
        <v>23</v>
      </c>
      <c r="H75" s="219">
        <v>18</v>
      </c>
      <c r="I75" s="81"/>
      <c r="J75" s="19">
        <f t="shared" si="2"/>
        <v>0</v>
      </c>
      <c r="K75" s="217" t="e">
        <f t="shared" si="3"/>
        <v>#DIV/0!</v>
      </c>
      <c r="L75" s="72"/>
    </row>
    <row r="76" spans="1:12" ht="13.5" customHeight="1" outlineLevel="1">
      <c r="A76" s="80">
        <v>24</v>
      </c>
      <c r="B76" s="61">
        <v>24</v>
      </c>
      <c r="C76" s="17" t="s">
        <v>364</v>
      </c>
      <c r="D76" s="212" t="s">
        <v>91</v>
      </c>
      <c r="E76" s="213" t="s">
        <v>665</v>
      </c>
      <c r="F76" s="214" t="s">
        <v>405</v>
      </c>
      <c r="G76" s="215" t="s">
        <v>54</v>
      </c>
      <c r="H76" s="216">
        <v>18</v>
      </c>
      <c r="I76" s="81"/>
      <c r="J76" s="19">
        <f t="shared" si="2"/>
        <v>0</v>
      </c>
      <c r="K76" s="217" t="e">
        <f t="shared" si="3"/>
        <v>#DIV/0!</v>
      </c>
      <c r="L76" s="72"/>
    </row>
    <row r="77" spans="1:12" ht="12.75" outlineLevel="1">
      <c r="A77" s="80">
        <v>4</v>
      </c>
      <c r="B77" s="61">
        <f>2.1*0.9*4</f>
        <v>7.5600000000000005</v>
      </c>
      <c r="C77" s="17" t="s">
        <v>463</v>
      </c>
      <c r="D77" s="212" t="s">
        <v>88</v>
      </c>
      <c r="E77" s="213" t="s">
        <v>665</v>
      </c>
      <c r="F77" s="214" t="s">
        <v>406</v>
      </c>
      <c r="G77" s="215" t="s">
        <v>370</v>
      </c>
      <c r="H77" s="216">
        <v>7.56</v>
      </c>
      <c r="I77" s="81"/>
      <c r="J77" s="19">
        <f t="shared" si="2"/>
        <v>0</v>
      </c>
      <c r="K77" s="217" t="e">
        <f t="shared" si="3"/>
        <v>#DIV/0!</v>
      </c>
      <c r="L77" s="72"/>
    </row>
    <row r="78" spans="1:12" ht="25.5" outlineLevel="1">
      <c r="A78" s="83"/>
      <c r="B78" s="61">
        <v>5</v>
      </c>
      <c r="C78" s="17" t="s">
        <v>464</v>
      </c>
      <c r="D78" s="9" t="s">
        <v>189</v>
      </c>
      <c r="E78" s="221" t="s">
        <v>666</v>
      </c>
      <c r="F78" s="222" t="s">
        <v>407</v>
      </c>
      <c r="G78" s="223" t="s">
        <v>23</v>
      </c>
      <c r="H78" s="216">
        <v>4</v>
      </c>
      <c r="I78" s="85"/>
      <c r="J78" s="13">
        <f t="shared" si="2"/>
        <v>0</v>
      </c>
      <c r="K78" s="224" t="e">
        <f t="shared" si="3"/>
        <v>#DIV/0!</v>
      </c>
      <c r="L78" s="72"/>
    </row>
    <row r="79" spans="1:12" ht="25.5" outlineLevel="1">
      <c r="A79" s="83"/>
      <c r="B79" s="61">
        <v>4</v>
      </c>
      <c r="C79" s="17" t="s">
        <v>483</v>
      </c>
      <c r="D79" s="9" t="s">
        <v>190</v>
      </c>
      <c r="E79" s="221" t="s">
        <v>666</v>
      </c>
      <c r="F79" s="222" t="s">
        <v>408</v>
      </c>
      <c r="G79" s="223" t="s">
        <v>23</v>
      </c>
      <c r="H79" s="216">
        <v>4</v>
      </c>
      <c r="I79" s="85"/>
      <c r="J79" s="13">
        <f t="shared" si="2"/>
        <v>0</v>
      </c>
      <c r="K79" s="224" t="e">
        <f t="shared" si="3"/>
        <v>#DIV/0!</v>
      </c>
      <c r="L79" s="72"/>
    </row>
    <row r="80" spans="1:12" ht="12.75" outlineLevel="1">
      <c r="A80" s="80">
        <v>22.96</v>
      </c>
      <c r="B80" s="61">
        <v>22.96</v>
      </c>
      <c r="C80" s="17" t="s">
        <v>484</v>
      </c>
      <c r="D80" s="212" t="s">
        <v>161</v>
      </c>
      <c r="E80" s="213" t="s">
        <v>665</v>
      </c>
      <c r="F80" s="214" t="s">
        <v>409</v>
      </c>
      <c r="G80" s="215" t="s">
        <v>370</v>
      </c>
      <c r="H80" s="216">
        <v>22.96</v>
      </c>
      <c r="I80" s="81"/>
      <c r="J80" s="19">
        <f aca="true" t="shared" si="4" ref="J80:J97">ROUND(_xlfn.IFERROR(H80*I80," - "),2)</f>
        <v>0</v>
      </c>
      <c r="K80" s="217" t="e">
        <f aca="true" t="shared" si="5" ref="K80:K97">J80/$I$394</f>
        <v>#DIV/0!</v>
      </c>
      <c r="L80" s="72"/>
    </row>
    <row r="81" spans="1:12" ht="25.5" outlineLevel="1">
      <c r="A81" s="80">
        <v>0</v>
      </c>
      <c r="B81" s="61">
        <f>B77*2.5+B41</f>
        <v>23.700000000000003</v>
      </c>
      <c r="C81" s="17" t="s">
        <v>485</v>
      </c>
      <c r="D81" s="21" t="s">
        <v>181</v>
      </c>
      <c r="E81" s="213" t="s">
        <v>665</v>
      </c>
      <c r="F81" s="214" t="s">
        <v>410</v>
      </c>
      <c r="G81" s="215" t="s">
        <v>370</v>
      </c>
      <c r="H81" s="216">
        <v>23.7</v>
      </c>
      <c r="I81" s="81"/>
      <c r="J81" s="19">
        <f t="shared" si="4"/>
        <v>0</v>
      </c>
      <c r="K81" s="217" t="e">
        <f t="shared" si="5"/>
        <v>#DIV/0!</v>
      </c>
      <c r="L81" s="72"/>
    </row>
    <row r="82" spans="1:12" ht="12.75" outlineLevel="1">
      <c r="A82" s="80">
        <v>246.65</v>
      </c>
      <c r="B82" s="61">
        <f>(8*4*2.7)-(0.9*2.1+2*0.6)*4+7.34*2</f>
        <v>88.72</v>
      </c>
      <c r="C82" s="17" t="s">
        <v>486</v>
      </c>
      <c r="D82" s="21" t="s">
        <v>98</v>
      </c>
      <c r="E82" s="213" t="s">
        <v>665</v>
      </c>
      <c r="F82" s="214" t="s">
        <v>411</v>
      </c>
      <c r="G82" s="215" t="s">
        <v>370</v>
      </c>
      <c r="H82" s="216">
        <v>88.72</v>
      </c>
      <c r="I82" s="81"/>
      <c r="J82" s="19">
        <f t="shared" si="4"/>
        <v>0</v>
      </c>
      <c r="K82" s="217" t="e">
        <f t="shared" si="5"/>
        <v>#DIV/0!</v>
      </c>
      <c r="L82" s="72"/>
    </row>
    <row r="83" spans="1:12" ht="12.75" outlineLevel="1">
      <c r="A83" s="80">
        <v>72.7</v>
      </c>
      <c r="B83" s="61">
        <f>0.6*1.5*2.5*B75</f>
        <v>54</v>
      </c>
      <c r="C83" s="17" t="s">
        <v>487</v>
      </c>
      <c r="D83" s="21" t="s">
        <v>174</v>
      </c>
      <c r="E83" s="213" t="s">
        <v>665</v>
      </c>
      <c r="F83" s="214" t="s">
        <v>412</v>
      </c>
      <c r="G83" s="215" t="s">
        <v>370</v>
      </c>
      <c r="H83" s="216">
        <v>54</v>
      </c>
      <c r="I83" s="81"/>
      <c r="J83" s="19">
        <f t="shared" si="4"/>
        <v>0</v>
      </c>
      <c r="K83" s="217" t="e">
        <f t="shared" si="5"/>
        <v>#DIV/0!</v>
      </c>
      <c r="L83" s="72"/>
    </row>
    <row r="84" spans="1:12" ht="12.75" outlineLevel="1">
      <c r="A84" s="80">
        <v>1</v>
      </c>
      <c r="B84" s="61">
        <v>20</v>
      </c>
      <c r="C84" s="17" t="s">
        <v>488</v>
      </c>
      <c r="D84" s="21" t="s">
        <v>122</v>
      </c>
      <c r="E84" s="213" t="s">
        <v>665</v>
      </c>
      <c r="F84" s="214" t="s">
        <v>414</v>
      </c>
      <c r="G84" s="215" t="s">
        <v>23</v>
      </c>
      <c r="H84" s="216">
        <v>12</v>
      </c>
      <c r="I84" s="81"/>
      <c r="J84" s="19">
        <f t="shared" si="4"/>
        <v>0</v>
      </c>
      <c r="K84" s="217" t="e">
        <f t="shared" si="5"/>
        <v>#DIV/0!</v>
      </c>
      <c r="L84" s="72"/>
    </row>
    <row r="85" spans="1:12" ht="38.25" outlineLevel="1">
      <c r="A85" s="80">
        <v>1</v>
      </c>
      <c r="B85" s="61">
        <v>1</v>
      </c>
      <c r="C85" s="17" t="s">
        <v>489</v>
      </c>
      <c r="D85" s="21" t="s">
        <v>105</v>
      </c>
      <c r="E85" s="213" t="s">
        <v>665</v>
      </c>
      <c r="F85" s="214" t="s">
        <v>415</v>
      </c>
      <c r="G85" s="215" t="s">
        <v>23</v>
      </c>
      <c r="H85" s="216">
        <v>1</v>
      </c>
      <c r="I85" s="81"/>
      <c r="J85" s="19">
        <f t="shared" si="4"/>
        <v>0</v>
      </c>
      <c r="K85" s="217" t="e">
        <f t="shared" si="5"/>
        <v>#DIV/0!</v>
      </c>
      <c r="L85" s="72"/>
    </row>
    <row r="86" spans="1:12" ht="12.75" outlineLevel="1">
      <c r="A86" s="80">
        <v>240</v>
      </c>
      <c r="C86" s="17" t="s">
        <v>490</v>
      </c>
      <c r="D86" s="225" t="s">
        <v>107</v>
      </c>
      <c r="E86" s="213" t="s">
        <v>665</v>
      </c>
      <c r="F86" s="214" t="s">
        <v>688</v>
      </c>
      <c r="G86" s="215" t="s">
        <v>19</v>
      </c>
      <c r="H86" s="216">
        <v>5.66</v>
      </c>
      <c r="I86" s="81"/>
      <c r="J86" s="19">
        <f t="shared" si="4"/>
        <v>0</v>
      </c>
      <c r="K86" s="217" t="e">
        <f t="shared" si="5"/>
        <v>#DIV/0!</v>
      </c>
      <c r="L86" s="72"/>
    </row>
    <row r="87" spans="1:12" ht="25.5" outlineLevel="1">
      <c r="A87" s="80">
        <v>180</v>
      </c>
      <c r="C87" s="17" t="s">
        <v>491</v>
      </c>
      <c r="D87" s="21" t="s">
        <v>108</v>
      </c>
      <c r="E87" s="213" t="s">
        <v>665</v>
      </c>
      <c r="F87" s="214" t="s">
        <v>689</v>
      </c>
      <c r="G87" s="215" t="s">
        <v>19</v>
      </c>
      <c r="H87" s="216">
        <v>156</v>
      </c>
      <c r="I87" s="81"/>
      <c r="J87" s="19">
        <f t="shared" si="4"/>
        <v>0</v>
      </c>
      <c r="K87" s="217" t="e">
        <f t="shared" si="5"/>
        <v>#DIV/0!</v>
      </c>
      <c r="L87" s="72"/>
    </row>
    <row r="88" spans="1:12" ht="25.5" outlineLevel="1">
      <c r="A88" s="80">
        <v>240</v>
      </c>
      <c r="B88" s="61">
        <v>240</v>
      </c>
      <c r="C88" s="17" t="s">
        <v>492</v>
      </c>
      <c r="D88" s="225" t="s">
        <v>109</v>
      </c>
      <c r="E88" s="213" t="s">
        <v>665</v>
      </c>
      <c r="F88" s="214" t="s">
        <v>416</v>
      </c>
      <c r="G88" s="215" t="s">
        <v>19</v>
      </c>
      <c r="H88" s="216">
        <v>240</v>
      </c>
      <c r="I88" s="81"/>
      <c r="J88" s="19">
        <f t="shared" si="4"/>
        <v>0</v>
      </c>
      <c r="K88" s="217" t="e">
        <f t="shared" si="5"/>
        <v>#DIV/0!</v>
      </c>
      <c r="L88" s="72"/>
    </row>
    <row r="89" spans="1:12" ht="25.5" outlineLevel="1">
      <c r="A89" s="80">
        <v>180</v>
      </c>
      <c r="B89" s="61">
        <v>180</v>
      </c>
      <c r="C89" s="17" t="s">
        <v>493</v>
      </c>
      <c r="D89" s="21" t="s">
        <v>110</v>
      </c>
      <c r="E89" s="213" t="s">
        <v>665</v>
      </c>
      <c r="F89" s="214" t="s">
        <v>417</v>
      </c>
      <c r="G89" s="215" t="s">
        <v>19</v>
      </c>
      <c r="H89" s="216">
        <v>180</v>
      </c>
      <c r="I89" s="81"/>
      <c r="J89" s="19">
        <f t="shared" si="4"/>
        <v>0</v>
      </c>
      <c r="K89" s="217" t="e">
        <f t="shared" si="5"/>
        <v>#DIV/0!</v>
      </c>
      <c r="L89" s="72"/>
    </row>
    <row r="90" spans="1:12" ht="25.5" outlineLevel="1">
      <c r="A90" s="80">
        <v>8</v>
      </c>
      <c r="B90" s="61">
        <v>8</v>
      </c>
      <c r="C90" s="17" t="s">
        <v>494</v>
      </c>
      <c r="D90" s="21" t="s">
        <v>121</v>
      </c>
      <c r="E90" s="213" t="s">
        <v>665</v>
      </c>
      <c r="F90" s="214" t="s">
        <v>418</v>
      </c>
      <c r="G90" s="215" t="s">
        <v>23</v>
      </c>
      <c r="H90" s="216">
        <v>12</v>
      </c>
      <c r="I90" s="81"/>
      <c r="J90" s="19">
        <f t="shared" si="4"/>
        <v>0</v>
      </c>
      <c r="K90" s="217" t="e">
        <f t="shared" si="5"/>
        <v>#DIV/0!</v>
      </c>
      <c r="L90" s="72"/>
    </row>
    <row r="91" spans="1:12" ht="25.5" outlineLevel="1">
      <c r="A91" s="80"/>
      <c r="B91" s="61">
        <v>4</v>
      </c>
      <c r="C91" s="17" t="s">
        <v>495</v>
      </c>
      <c r="D91" s="21" t="s">
        <v>117</v>
      </c>
      <c r="E91" s="213" t="s">
        <v>665</v>
      </c>
      <c r="F91" s="214" t="s">
        <v>690</v>
      </c>
      <c r="G91" s="215" t="s">
        <v>23</v>
      </c>
      <c r="H91" s="216">
        <v>24</v>
      </c>
      <c r="I91" s="81"/>
      <c r="J91" s="19">
        <f t="shared" si="4"/>
        <v>0</v>
      </c>
      <c r="K91" s="217" t="e">
        <f t="shared" si="5"/>
        <v>#DIV/0!</v>
      </c>
      <c r="L91" s="72"/>
    </row>
    <row r="92" spans="1:12" ht="12.75" customHeight="1" outlineLevel="1">
      <c r="A92" s="80"/>
      <c r="B92" s="61">
        <v>4</v>
      </c>
      <c r="C92" s="17" t="s">
        <v>496</v>
      </c>
      <c r="D92" s="21" t="s">
        <v>183</v>
      </c>
      <c r="E92" s="213" t="s">
        <v>665</v>
      </c>
      <c r="F92" s="214" t="s">
        <v>419</v>
      </c>
      <c r="G92" s="215" t="s">
        <v>23</v>
      </c>
      <c r="H92" s="216">
        <v>4</v>
      </c>
      <c r="I92" s="81"/>
      <c r="J92" s="19">
        <f t="shared" si="4"/>
        <v>0</v>
      </c>
      <c r="K92" s="217" t="e">
        <f t="shared" si="5"/>
        <v>#DIV/0!</v>
      </c>
      <c r="L92" s="72"/>
    </row>
    <row r="93" spans="1:12" ht="12.75" outlineLevel="1">
      <c r="A93" s="80"/>
      <c r="B93" s="61">
        <v>4</v>
      </c>
      <c r="C93" s="17" t="s">
        <v>497</v>
      </c>
      <c r="D93" s="21" t="s">
        <v>162</v>
      </c>
      <c r="E93" s="213" t="s">
        <v>665</v>
      </c>
      <c r="F93" s="214" t="s">
        <v>691</v>
      </c>
      <c r="G93" s="215" t="s">
        <v>23</v>
      </c>
      <c r="H93" s="216">
        <v>4</v>
      </c>
      <c r="I93" s="81"/>
      <c r="J93" s="19">
        <f t="shared" si="4"/>
        <v>0</v>
      </c>
      <c r="K93" s="217" t="e">
        <f t="shared" si="5"/>
        <v>#DIV/0!</v>
      </c>
      <c r="L93" s="72"/>
    </row>
    <row r="94" spans="1:12" ht="12.75" outlineLevel="1">
      <c r="A94" s="80"/>
      <c r="B94" s="61">
        <v>4</v>
      </c>
      <c r="C94" s="17" t="s">
        <v>504</v>
      </c>
      <c r="D94" s="21" t="s">
        <v>116</v>
      </c>
      <c r="E94" s="213" t="s">
        <v>665</v>
      </c>
      <c r="F94" s="214" t="s">
        <v>692</v>
      </c>
      <c r="G94" s="215" t="s">
        <v>23</v>
      </c>
      <c r="H94" s="216">
        <v>4</v>
      </c>
      <c r="I94" s="81"/>
      <c r="J94" s="19">
        <f t="shared" si="4"/>
        <v>0</v>
      </c>
      <c r="K94" s="217" t="e">
        <f t="shared" si="5"/>
        <v>#DIV/0!</v>
      </c>
      <c r="L94" s="72"/>
    </row>
    <row r="95" spans="1:12" ht="12.75" outlineLevel="1">
      <c r="A95" s="80"/>
      <c r="B95" s="61">
        <v>4</v>
      </c>
      <c r="C95" s="17" t="s">
        <v>505</v>
      </c>
      <c r="D95" s="21" t="s">
        <v>115</v>
      </c>
      <c r="E95" s="213" t="s">
        <v>665</v>
      </c>
      <c r="F95" s="214" t="s">
        <v>420</v>
      </c>
      <c r="G95" s="215" t="s">
        <v>54</v>
      </c>
      <c r="H95" s="216">
        <v>4</v>
      </c>
      <c r="I95" s="81"/>
      <c r="J95" s="19">
        <f t="shared" si="4"/>
        <v>0</v>
      </c>
      <c r="K95" s="217" t="e">
        <f t="shared" si="5"/>
        <v>#DIV/0!</v>
      </c>
      <c r="L95" s="72"/>
    </row>
    <row r="96" spans="1:12" ht="12.75" outlineLevel="1">
      <c r="A96" s="80">
        <v>4</v>
      </c>
      <c r="B96" s="61">
        <v>4</v>
      </c>
      <c r="C96" s="17" t="s">
        <v>516</v>
      </c>
      <c r="D96" s="21" t="s">
        <v>113</v>
      </c>
      <c r="E96" s="213" t="s">
        <v>665</v>
      </c>
      <c r="F96" s="214" t="s">
        <v>421</v>
      </c>
      <c r="G96" s="215" t="s">
        <v>54</v>
      </c>
      <c r="H96" s="216">
        <v>4</v>
      </c>
      <c r="I96" s="81"/>
      <c r="J96" s="19">
        <f t="shared" si="4"/>
        <v>0</v>
      </c>
      <c r="K96" s="217" t="e">
        <f t="shared" si="5"/>
        <v>#DIV/0!</v>
      </c>
      <c r="L96" s="72"/>
    </row>
    <row r="97" spans="1:12" ht="12.75" outlineLevel="1">
      <c r="A97" s="86">
        <v>8</v>
      </c>
      <c r="B97" s="61">
        <v>22</v>
      </c>
      <c r="C97" s="17" t="s">
        <v>518</v>
      </c>
      <c r="D97" s="22" t="s">
        <v>112</v>
      </c>
      <c r="E97" s="226" t="s">
        <v>665</v>
      </c>
      <c r="F97" s="227" t="s">
        <v>422</v>
      </c>
      <c r="G97" s="228" t="s">
        <v>54</v>
      </c>
      <c r="H97" s="216">
        <v>20</v>
      </c>
      <c r="I97" s="87"/>
      <c r="J97" s="23">
        <f t="shared" si="4"/>
        <v>0</v>
      </c>
      <c r="K97" s="229" t="e">
        <f t="shared" si="5"/>
        <v>#DIV/0!</v>
      </c>
      <c r="L97" s="72"/>
    </row>
    <row r="98" spans="1:12" s="7" customFormat="1" ht="14.25" outlineLevel="1">
      <c r="A98" s="88"/>
      <c r="B98" s="61"/>
      <c r="C98" s="230" t="s">
        <v>21</v>
      </c>
      <c r="D98" s="231"/>
      <c r="E98" s="232"/>
      <c r="F98" s="233" t="s">
        <v>232</v>
      </c>
      <c r="G98" s="234">
        <f>ROUND(SUM(J99:J177),2)</f>
        <v>0</v>
      </c>
      <c r="H98" s="234"/>
      <c r="I98" s="88"/>
      <c r="J98" s="234"/>
      <c r="K98" s="235" t="e">
        <f>G98/$I$394</f>
        <v>#DIV/0!</v>
      </c>
      <c r="L98" s="72"/>
    </row>
    <row r="99" spans="1:12" ht="25.5" outlineLevel="1">
      <c r="A99" s="80">
        <v>28.44</v>
      </c>
      <c r="B99" s="61">
        <v>66</v>
      </c>
      <c r="C99" s="12" t="s">
        <v>22</v>
      </c>
      <c r="D99" s="212" t="s">
        <v>77</v>
      </c>
      <c r="E99" s="213" t="s">
        <v>665</v>
      </c>
      <c r="F99" s="214" t="s">
        <v>669</v>
      </c>
      <c r="G99" s="215" t="s">
        <v>19</v>
      </c>
      <c r="H99" s="216">
        <v>66</v>
      </c>
      <c r="I99" s="81"/>
      <c r="J99" s="19">
        <f aca="true" t="shared" si="6" ref="J99:J130">ROUND(_xlfn.IFERROR(H99*I99," - "),2)</f>
        <v>0</v>
      </c>
      <c r="K99" s="217" t="e">
        <f aca="true" t="shared" si="7" ref="K99:K130">J99/$I$394</f>
        <v>#DIV/0!</v>
      </c>
      <c r="L99" s="72"/>
    </row>
    <row r="100" spans="1:12" ht="25.5" outlineLevel="1">
      <c r="A100" s="80">
        <v>14.22</v>
      </c>
      <c r="B100" s="61">
        <f>7.39+3.4</f>
        <v>10.79</v>
      </c>
      <c r="C100" s="12" t="s">
        <v>34</v>
      </c>
      <c r="D100" s="212" t="s">
        <v>51</v>
      </c>
      <c r="E100" s="213" t="s">
        <v>665</v>
      </c>
      <c r="F100" s="214" t="s">
        <v>368</v>
      </c>
      <c r="G100" s="215" t="s">
        <v>436</v>
      </c>
      <c r="H100" s="216">
        <v>14.03</v>
      </c>
      <c r="I100" s="81"/>
      <c r="J100" s="19">
        <f t="shared" si="6"/>
        <v>0</v>
      </c>
      <c r="K100" s="217" t="e">
        <f t="shared" si="7"/>
        <v>#DIV/0!</v>
      </c>
      <c r="L100" s="72"/>
    </row>
    <row r="101" spans="1:12" ht="25.5" outlineLevel="1">
      <c r="A101" s="80">
        <v>28.44</v>
      </c>
      <c r="B101" s="61">
        <f>6.19+14.12</f>
        <v>20.31</v>
      </c>
      <c r="C101" s="12" t="s">
        <v>35</v>
      </c>
      <c r="D101" s="212">
        <v>10410</v>
      </c>
      <c r="E101" s="213" t="s">
        <v>479</v>
      </c>
      <c r="F101" s="214" t="s">
        <v>369</v>
      </c>
      <c r="G101" s="215" t="s">
        <v>370</v>
      </c>
      <c r="H101" s="216">
        <v>20.330000000000002</v>
      </c>
      <c r="I101" s="81"/>
      <c r="J101" s="19">
        <f t="shared" si="6"/>
        <v>0</v>
      </c>
      <c r="K101" s="217" t="e">
        <f t="shared" si="7"/>
        <v>#DIV/0!</v>
      </c>
      <c r="L101" s="72"/>
    </row>
    <row r="102" spans="1:12" ht="12.75" outlineLevel="1">
      <c r="A102" s="80">
        <v>4.62</v>
      </c>
      <c r="B102" s="61">
        <f>1.63+1.46</f>
        <v>3.09</v>
      </c>
      <c r="C102" s="12" t="s">
        <v>36</v>
      </c>
      <c r="D102" s="212" t="s">
        <v>74</v>
      </c>
      <c r="E102" s="213" t="s">
        <v>665</v>
      </c>
      <c r="F102" s="214" t="s">
        <v>670</v>
      </c>
      <c r="G102" s="215" t="s">
        <v>436</v>
      </c>
      <c r="H102" s="216">
        <v>3.09</v>
      </c>
      <c r="I102" s="81"/>
      <c r="J102" s="19">
        <f t="shared" si="6"/>
        <v>0</v>
      </c>
      <c r="K102" s="217" t="e">
        <f t="shared" si="7"/>
        <v>#DIV/0!</v>
      </c>
      <c r="L102" s="72"/>
    </row>
    <row r="103" spans="1:12" ht="12.75" outlineLevel="1">
      <c r="A103" s="80">
        <v>4.62</v>
      </c>
      <c r="B103" s="61">
        <f>0.31+0.71</f>
        <v>1.02</v>
      </c>
      <c r="C103" s="12" t="s">
        <v>37</v>
      </c>
      <c r="D103" s="212" t="s">
        <v>75</v>
      </c>
      <c r="E103" s="213" t="s">
        <v>665</v>
      </c>
      <c r="F103" s="214" t="s">
        <v>371</v>
      </c>
      <c r="G103" s="215" t="s">
        <v>436</v>
      </c>
      <c r="H103" s="216">
        <v>6.16</v>
      </c>
      <c r="I103" s="81"/>
      <c r="J103" s="19">
        <f t="shared" si="6"/>
        <v>0</v>
      </c>
      <c r="K103" s="217" t="e">
        <f t="shared" si="7"/>
        <v>#DIV/0!</v>
      </c>
      <c r="L103" s="72"/>
    </row>
    <row r="104" spans="1:12" s="43" customFormat="1" ht="25.5" outlineLevel="1">
      <c r="A104" s="80">
        <v>218.69</v>
      </c>
      <c r="B104" s="72">
        <f>163.71+309.27+92.13+190.44</f>
        <v>755.55</v>
      </c>
      <c r="C104" s="12" t="s">
        <v>38</v>
      </c>
      <c r="D104" s="218" t="s">
        <v>69</v>
      </c>
      <c r="E104" s="213" t="s">
        <v>665</v>
      </c>
      <c r="F104" s="214" t="s">
        <v>372</v>
      </c>
      <c r="G104" s="215" t="s">
        <v>60</v>
      </c>
      <c r="H104" s="216">
        <v>758.04</v>
      </c>
      <c r="I104" s="82"/>
      <c r="J104" s="42">
        <f t="shared" si="6"/>
        <v>0</v>
      </c>
      <c r="K104" s="220" t="e">
        <f t="shared" si="7"/>
        <v>#DIV/0!</v>
      </c>
      <c r="L104" s="72"/>
    </row>
    <row r="105" spans="1:12" ht="12.75" outlineLevel="1">
      <c r="A105" s="80">
        <v>218.69</v>
      </c>
      <c r="B105" s="61">
        <f>22.74+9.9</f>
        <v>32.64</v>
      </c>
      <c r="C105" s="12" t="s">
        <v>39</v>
      </c>
      <c r="D105" s="212" t="s">
        <v>67</v>
      </c>
      <c r="E105" s="213" t="s">
        <v>665</v>
      </c>
      <c r="F105" s="214" t="s">
        <v>671</v>
      </c>
      <c r="G105" s="215" t="s">
        <v>370</v>
      </c>
      <c r="H105" s="216">
        <v>32.7</v>
      </c>
      <c r="I105" s="81"/>
      <c r="J105" s="19">
        <f t="shared" si="6"/>
        <v>0</v>
      </c>
      <c r="K105" s="217" t="e">
        <f t="shared" si="7"/>
        <v>#DIV/0!</v>
      </c>
      <c r="L105" s="72"/>
    </row>
    <row r="106" spans="1:12" ht="25.5" outlineLevel="1">
      <c r="A106" s="80">
        <v>218.69</v>
      </c>
      <c r="B106" s="61">
        <f>25.61+26.1</f>
        <v>51.71</v>
      </c>
      <c r="C106" s="12" t="s">
        <v>40</v>
      </c>
      <c r="D106" s="212" t="s">
        <v>68</v>
      </c>
      <c r="E106" s="213" t="s">
        <v>665</v>
      </c>
      <c r="F106" s="214" t="s">
        <v>672</v>
      </c>
      <c r="G106" s="215" t="s">
        <v>370</v>
      </c>
      <c r="H106" s="216">
        <v>54.33</v>
      </c>
      <c r="I106" s="81"/>
      <c r="J106" s="19">
        <f t="shared" si="6"/>
        <v>0</v>
      </c>
      <c r="K106" s="217" t="e">
        <f t="shared" si="7"/>
        <v>#DIV/0!</v>
      </c>
      <c r="L106" s="72"/>
    </row>
    <row r="107" spans="1:12" ht="12.75" outlineLevel="1">
      <c r="A107" s="80">
        <v>218.69</v>
      </c>
      <c r="B107" s="61">
        <f>9+54.63</f>
        <v>63.63</v>
      </c>
      <c r="C107" s="12" t="s">
        <v>41</v>
      </c>
      <c r="D107" s="212" t="s">
        <v>500</v>
      </c>
      <c r="E107" s="213" t="s">
        <v>666</v>
      </c>
      <c r="F107" s="214" t="s">
        <v>673</v>
      </c>
      <c r="G107" s="215" t="s">
        <v>370</v>
      </c>
      <c r="H107" s="216">
        <v>102.88</v>
      </c>
      <c r="I107" s="81"/>
      <c r="J107" s="19">
        <f t="shared" si="6"/>
        <v>0</v>
      </c>
      <c r="K107" s="217" t="e">
        <f t="shared" si="7"/>
        <v>#DIV/0!</v>
      </c>
      <c r="L107" s="72"/>
    </row>
    <row r="108" spans="1:12" ht="12.75" outlineLevel="1">
      <c r="A108" s="80">
        <v>14.29</v>
      </c>
      <c r="B108" s="61">
        <f>2.13+1.11+1.31</f>
        <v>4.550000000000001</v>
      </c>
      <c r="C108" s="12" t="s">
        <v>42</v>
      </c>
      <c r="D108" s="212" t="s">
        <v>70</v>
      </c>
      <c r="E108" s="213" t="s">
        <v>665</v>
      </c>
      <c r="F108" s="214" t="s">
        <v>373</v>
      </c>
      <c r="G108" s="215" t="s">
        <v>436</v>
      </c>
      <c r="H108" s="216">
        <v>25.17</v>
      </c>
      <c r="I108" s="81"/>
      <c r="J108" s="19">
        <f t="shared" si="6"/>
        <v>0</v>
      </c>
      <c r="K108" s="217" t="e">
        <f t="shared" si="7"/>
        <v>#DIV/0!</v>
      </c>
      <c r="L108" s="72"/>
    </row>
    <row r="109" spans="1:12" ht="25.5" outlineLevel="1">
      <c r="A109" s="80">
        <v>14.29</v>
      </c>
      <c r="B109" s="61">
        <f>B108</f>
        <v>4.550000000000001</v>
      </c>
      <c r="C109" s="12" t="s">
        <v>43</v>
      </c>
      <c r="D109" s="212" t="s">
        <v>73</v>
      </c>
      <c r="E109" s="213" t="s">
        <v>665</v>
      </c>
      <c r="F109" s="214" t="s">
        <v>374</v>
      </c>
      <c r="G109" s="215" t="s">
        <v>436</v>
      </c>
      <c r="H109" s="216">
        <v>25.17</v>
      </c>
      <c r="I109" s="81"/>
      <c r="J109" s="19">
        <f t="shared" si="6"/>
        <v>0</v>
      </c>
      <c r="K109" s="217" t="e">
        <f t="shared" si="7"/>
        <v>#DIV/0!</v>
      </c>
      <c r="L109" s="72"/>
    </row>
    <row r="110" spans="1:12" s="43" customFormat="1" ht="25.5" outlineLevel="1">
      <c r="A110" s="80"/>
      <c r="B110" s="72"/>
      <c r="C110" s="12" t="s">
        <v>44</v>
      </c>
      <c r="D110" s="218" t="s">
        <v>97</v>
      </c>
      <c r="E110" s="213" t="s">
        <v>665</v>
      </c>
      <c r="F110" s="214" t="s">
        <v>674</v>
      </c>
      <c r="G110" s="215" t="s">
        <v>370</v>
      </c>
      <c r="H110" s="216">
        <v>55.230000000000004</v>
      </c>
      <c r="I110" s="82"/>
      <c r="J110" s="42">
        <f t="shared" si="6"/>
        <v>0</v>
      </c>
      <c r="K110" s="220" t="e">
        <f t="shared" si="7"/>
        <v>#DIV/0!</v>
      </c>
      <c r="L110" s="72"/>
    </row>
    <row r="111" spans="1:12" ht="12.75" outlineLevel="1">
      <c r="A111" s="80">
        <v>1.66</v>
      </c>
      <c r="B111" s="61">
        <f>4.55+1.98</f>
        <v>6.529999999999999</v>
      </c>
      <c r="C111" s="12" t="s">
        <v>45</v>
      </c>
      <c r="D111" s="212" t="s">
        <v>62</v>
      </c>
      <c r="E111" s="213" t="s">
        <v>665</v>
      </c>
      <c r="F111" s="214" t="s">
        <v>375</v>
      </c>
      <c r="G111" s="215" t="s">
        <v>436</v>
      </c>
      <c r="H111" s="216">
        <v>6.539999999999999</v>
      </c>
      <c r="I111" s="81"/>
      <c r="J111" s="19">
        <f t="shared" si="6"/>
        <v>0</v>
      </c>
      <c r="K111" s="217" t="e">
        <f t="shared" si="7"/>
        <v>#DIV/0!</v>
      </c>
      <c r="L111" s="72"/>
    </row>
    <row r="112" spans="1:12" ht="25.5" outlineLevel="1">
      <c r="A112" s="80">
        <v>4.62</v>
      </c>
      <c r="B112" s="61">
        <f>3.45+8.51+1.51</f>
        <v>13.47</v>
      </c>
      <c r="C112" s="12" t="s">
        <v>46</v>
      </c>
      <c r="D112" s="212" t="s">
        <v>64</v>
      </c>
      <c r="E112" s="213" t="s">
        <v>665</v>
      </c>
      <c r="F112" s="214" t="s">
        <v>430</v>
      </c>
      <c r="G112" s="215" t="s">
        <v>436</v>
      </c>
      <c r="H112" s="216">
        <v>9.75</v>
      </c>
      <c r="I112" s="81"/>
      <c r="J112" s="19">
        <f t="shared" si="6"/>
        <v>0</v>
      </c>
      <c r="K112" s="217" t="e">
        <f t="shared" si="7"/>
        <v>#DIV/0!</v>
      </c>
      <c r="L112" s="72"/>
    </row>
    <row r="113" spans="1:12" ht="25.5" outlineLevel="1">
      <c r="A113" s="80">
        <v>4.62</v>
      </c>
      <c r="B113" s="61">
        <f>4.21+3.69+1.85</f>
        <v>9.75</v>
      </c>
      <c r="C113" s="12" t="s">
        <v>47</v>
      </c>
      <c r="D113" s="212" t="s">
        <v>61</v>
      </c>
      <c r="E113" s="213" t="s">
        <v>665</v>
      </c>
      <c r="F113" s="214" t="s">
        <v>675</v>
      </c>
      <c r="G113" s="215" t="s">
        <v>436</v>
      </c>
      <c r="H113" s="216">
        <v>9.75</v>
      </c>
      <c r="I113" s="81"/>
      <c r="J113" s="19">
        <f t="shared" si="6"/>
        <v>0</v>
      </c>
      <c r="K113" s="217" t="e">
        <f t="shared" si="7"/>
        <v>#DIV/0!</v>
      </c>
      <c r="L113" s="72"/>
    </row>
    <row r="114" spans="1:12" ht="13.5" customHeight="1" outlineLevel="1">
      <c r="A114" s="80">
        <v>59.94</v>
      </c>
      <c r="B114" s="61">
        <f>B113</f>
        <v>9.75</v>
      </c>
      <c r="C114" s="12" t="s">
        <v>48</v>
      </c>
      <c r="D114" s="212" t="s">
        <v>157</v>
      </c>
      <c r="E114" s="213" t="s">
        <v>665</v>
      </c>
      <c r="F114" s="214" t="s">
        <v>431</v>
      </c>
      <c r="G114" s="215" t="s">
        <v>436</v>
      </c>
      <c r="H114" s="216">
        <v>9.75</v>
      </c>
      <c r="I114" s="81"/>
      <c r="J114" s="19">
        <f t="shared" si="6"/>
        <v>0</v>
      </c>
      <c r="K114" s="217" t="e">
        <f t="shared" si="7"/>
        <v>#DIV/0!</v>
      </c>
      <c r="L114" s="72"/>
    </row>
    <row r="115" spans="1:12" s="7" customFormat="1" ht="15" customHeight="1" outlineLevel="1">
      <c r="A115" s="83">
        <v>84.6</v>
      </c>
      <c r="B115" s="61">
        <f>(20.31+1.95*2)*2.7</f>
        <v>65.36699999999999</v>
      </c>
      <c r="C115" s="12" t="s">
        <v>49</v>
      </c>
      <c r="D115" s="9" t="s">
        <v>78</v>
      </c>
      <c r="E115" s="221" t="s">
        <v>665</v>
      </c>
      <c r="F115" s="222" t="s">
        <v>376</v>
      </c>
      <c r="G115" s="223" t="s">
        <v>370</v>
      </c>
      <c r="H115" s="216">
        <v>75.92</v>
      </c>
      <c r="I115" s="85"/>
      <c r="J115" s="13">
        <f t="shared" si="6"/>
        <v>0</v>
      </c>
      <c r="K115" s="224" t="e">
        <f t="shared" si="7"/>
        <v>#DIV/0!</v>
      </c>
      <c r="L115" s="72"/>
    </row>
    <row r="116" spans="1:12" s="7" customFormat="1" ht="14.25" outlineLevel="1">
      <c r="A116" s="83">
        <v>84.6</v>
      </c>
      <c r="B116" s="61">
        <f>(20.31+1.95*2)*2.7</f>
        <v>65.36699999999999</v>
      </c>
      <c r="C116" s="12" t="s">
        <v>50</v>
      </c>
      <c r="D116" s="9" t="s">
        <v>72</v>
      </c>
      <c r="E116" s="221" t="s">
        <v>665</v>
      </c>
      <c r="F116" s="222" t="s">
        <v>377</v>
      </c>
      <c r="G116" s="223" t="s">
        <v>436</v>
      </c>
      <c r="H116" s="216">
        <v>1.32</v>
      </c>
      <c r="I116" s="85"/>
      <c r="J116" s="13">
        <f t="shared" si="6"/>
        <v>0</v>
      </c>
      <c r="K116" s="224" t="e">
        <f t="shared" si="7"/>
        <v>#DIV/0!</v>
      </c>
      <c r="L116" s="72"/>
    </row>
    <row r="117" spans="1:12" s="7" customFormat="1" ht="14.25" outlineLevel="1">
      <c r="A117" s="83">
        <v>87.01</v>
      </c>
      <c r="B117" s="61">
        <f>((20.31+1.95+1.95)*2.7-(0.8*2.1*2+0.9*2.1*1+1.65*0.6*2+0.65*0.6))+((11.22*2.7)-(0.8*2.1+1.65*0.6))*2+((8*2.7)-(0.9*2.1+0.65*0.6))</f>
        <v>132.315</v>
      </c>
      <c r="C117" s="12" t="s">
        <v>233</v>
      </c>
      <c r="D117" s="9" t="s">
        <v>80</v>
      </c>
      <c r="E117" s="221" t="s">
        <v>665</v>
      </c>
      <c r="F117" s="222" t="s">
        <v>81</v>
      </c>
      <c r="G117" s="223" t="s">
        <v>370</v>
      </c>
      <c r="H117" s="216">
        <v>135.14</v>
      </c>
      <c r="I117" s="85"/>
      <c r="J117" s="13">
        <f t="shared" si="6"/>
        <v>0</v>
      </c>
      <c r="K117" s="224" t="e">
        <f t="shared" si="7"/>
        <v>#DIV/0!</v>
      </c>
      <c r="L117" s="72"/>
    </row>
    <row r="118" spans="1:12" ht="12.75" outlineLevel="1">
      <c r="A118" s="83">
        <v>87.01</v>
      </c>
      <c r="B118" s="61">
        <f>((20.31+1.95+1.95)*2.7-(0.8*2.1*2+0.9*2.1*1+1.65*0.6*2+0.65*0.6))+((11.22*2.7)-(0.8*2.1+1.65*0.6))*2+((8*2.7)-(0.9*2.1+0.65*0.6))</f>
        <v>132.315</v>
      </c>
      <c r="C118" s="12" t="s">
        <v>234</v>
      </c>
      <c r="D118" s="9" t="s">
        <v>82</v>
      </c>
      <c r="E118" s="221" t="s">
        <v>665</v>
      </c>
      <c r="F118" s="222" t="s">
        <v>381</v>
      </c>
      <c r="G118" s="223" t="s">
        <v>370</v>
      </c>
      <c r="H118" s="216">
        <v>135.14</v>
      </c>
      <c r="I118" s="85"/>
      <c r="J118" s="13">
        <f t="shared" si="6"/>
        <v>0</v>
      </c>
      <c r="K118" s="224" t="e">
        <f t="shared" si="7"/>
        <v>#DIV/0!</v>
      </c>
      <c r="L118" s="72"/>
    </row>
    <row r="119" spans="1:12" ht="12.75" outlineLevel="1">
      <c r="A119" s="80"/>
      <c r="B119" s="61">
        <f>((20.31+1.95+1.95)*2.7-(0.8*2.1*2+0.9*2.1*1+1.65*0.6*2+0.65*0.6))</f>
        <v>57.74699999999999</v>
      </c>
      <c r="C119" s="12" t="s">
        <v>235</v>
      </c>
      <c r="D119" s="212" t="s">
        <v>83</v>
      </c>
      <c r="E119" s="213" t="s">
        <v>665</v>
      </c>
      <c r="F119" s="214" t="s">
        <v>84</v>
      </c>
      <c r="G119" s="215" t="s">
        <v>370</v>
      </c>
      <c r="H119" s="216">
        <v>57.75</v>
      </c>
      <c r="I119" s="81"/>
      <c r="J119" s="19">
        <f t="shared" si="6"/>
        <v>0</v>
      </c>
      <c r="K119" s="217" t="e">
        <f t="shared" si="7"/>
        <v>#DIV/0!</v>
      </c>
      <c r="L119" s="72"/>
    </row>
    <row r="120" spans="1:12" ht="38.25" outlineLevel="1">
      <c r="A120" s="83">
        <v>54.72</v>
      </c>
      <c r="B120" s="61">
        <f>((11.22*2.7)-(0.8*2.1+1.65*0.6))*2+((8*2.7)-(0.9*2.1+0.65*0.6))</f>
        <v>74.56800000000001</v>
      </c>
      <c r="C120" s="12" t="s">
        <v>236</v>
      </c>
      <c r="D120" s="9" t="s">
        <v>160</v>
      </c>
      <c r="E120" s="221" t="s">
        <v>665</v>
      </c>
      <c r="F120" s="222" t="s">
        <v>382</v>
      </c>
      <c r="G120" s="223" t="s">
        <v>370</v>
      </c>
      <c r="H120" s="216">
        <v>80.32</v>
      </c>
      <c r="I120" s="85"/>
      <c r="J120" s="13">
        <f t="shared" si="6"/>
        <v>0</v>
      </c>
      <c r="K120" s="224" t="e">
        <f t="shared" si="7"/>
        <v>#DIV/0!</v>
      </c>
      <c r="L120" s="72"/>
    </row>
    <row r="121" spans="1:12" ht="51" outlineLevel="1">
      <c r="A121" s="83">
        <v>25.08</v>
      </c>
      <c r="B121" s="61">
        <f>4+6.55*2+3.88</f>
        <v>20.98</v>
      </c>
      <c r="C121" s="12" t="s">
        <v>237</v>
      </c>
      <c r="D121" s="9" t="s">
        <v>159</v>
      </c>
      <c r="E121" s="221" t="s">
        <v>665</v>
      </c>
      <c r="F121" s="222" t="s">
        <v>676</v>
      </c>
      <c r="G121" s="223" t="s">
        <v>370</v>
      </c>
      <c r="H121" s="216">
        <v>20.98</v>
      </c>
      <c r="I121" s="85"/>
      <c r="J121" s="13">
        <f t="shared" si="6"/>
        <v>0</v>
      </c>
      <c r="K121" s="224" t="e">
        <f t="shared" si="7"/>
        <v>#DIV/0!</v>
      </c>
      <c r="L121" s="72"/>
    </row>
    <row r="122" spans="1:12" ht="25.5" outlineLevel="1">
      <c r="A122" s="83">
        <v>25.08</v>
      </c>
      <c r="B122" s="61">
        <f>4+6.55*2+3.88</f>
        <v>20.98</v>
      </c>
      <c r="C122" s="12" t="s">
        <v>238</v>
      </c>
      <c r="D122" s="9" t="s">
        <v>85</v>
      </c>
      <c r="E122" s="221" t="s">
        <v>665</v>
      </c>
      <c r="F122" s="222" t="s">
        <v>383</v>
      </c>
      <c r="G122" s="223" t="s">
        <v>370</v>
      </c>
      <c r="H122" s="216">
        <v>20.98</v>
      </c>
      <c r="I122" s="85"/>
      <c r="J122" s="13">
        <f t="shared" si="6"/>
        <v>0</v>
      </c>
      <c r="K122" s="224" t="e">
        <f t="shared" si="7"/>
        <v>#DIV/0!</v>
      </c>
      <c r="L122" s="72"/>
    </row>
    <row r="123" spans="1:12" ht="25.5" outlineLevel="1">
      <c r="A123" s="80">
        <v>2.8</v>
      </c>
      <c r="C123" s="12" t="s">
        <v>239</v>
      </c>
      <c r="D123" s="21" t="s">
        <v>312</v>
      </c>
      <c r="E123" s="213" t="s">
        <v>665</v>
      </c>
      <c r="F123" s="214" t="s">
        <v>677</v>
      </c>
      <c r="G123" s="215" t="s">
        <v>19</v>
      </c>
      <c r="H123" s="216">
        <v>3.8</v>
      </c>
      <c r="I123" s="81"/>
      <c r="J123" s="19">
        <f t="shared" si="6"/>
        <v>0</v>
      </c>
      <c r="K123" s="217" t="e">
        <f t="shared" si="7"/>
        <v>#DIV/0!</v>
      </c>
      <c r="L123" s="72"/>
    </row>
    <row r="124" spans="1:12" ht="12.75" outlineLevel="1">
      <c r="A124" s="80">
        <v>2.8</v>
      </c>
      <c r="B124" s="61">
        <f aca="true" t="shared" si="8" ref="B124:B134">(1.65+1.65+0.65)*0.6</f>
        <v>2.3699999999999997</v>
      </c>
      <c r="C124" s="12" t="s">
        <v>240</v>
      </c>
      <c r="D124" s="21" t="s">
        <v>87</v>
      </c>
      <c r="E124" s="213" t="s">
        <v>665</v>
      </c>
      <c r="F124" s="214" t="s">
        <v>384</v>
      </c>
      <c r="G124" s="215" t="s">
        <v>370</v>
      </c>
      <c r="H124" s="216">
        <v>3.2</v>
      </c>
      <c r="I124" s="81"/>
      <c r="J124" s="19">
        <f t="shared" si="6"/>
        <v>0</v>
      </c>
      <c r="K124" s="217" t="e">
        <f t="shared" si="7"/>
        <v>#DIV/0!</v>
      </c>
      <c r="L124" s="72"/>
    </row>
    <row r="125" spans="1:12" ht="12.75" outlineLevel="1">
      <c r="A125" s="80"/>
      <c r="B125" s="61">
        <f t="shared" si="8"/>
        <v>2.3699999999999997</v>
      </c>
      <c r="C125" s="12" t="s">
        <v>241</v>
      </c>
      <c r="D125" s="21" t="s">
        <v>90</v>
      </c>
      <c r="E125" s="213" t="s">
        <v>665</v>
      </c>
      <c r="F125" s="214" t="s">
        <v>385</v>
      </c>
      <c r="G125" s="215" t="s">
        <v>370</v>
      </c>
      <c r="H125" s="216">
        <v>3.2</v>
      </c>
      <c r="I125" s="81"/>
      <c r="J125" s="19">
        <f t="shared" si="6"/>
        <v>0</v>
      </c>
      <c r="K125" s="217" t="e">
        <f t="shared" si="7"/>
        <v>#DIV/0!</v>
      </c>
      <c r="L125" s="72"/>
    </row>
    <row r="126" spans="1:12" ht="25.5" outlineLevel="1">
      <c r="A126" s="80"/>
      <c r="B126" s="61">
        <f t="shared" si="8"/>
        <v>2.3699999999999997</v>
      </c>
      <c r="C126" s="12" t="s">
        <v>242</v>
      </c>
      <c r="D126" s="21">
        <v>80280</v>
      </c>
      <c r="E126" s="213" t="s">
        <v>479</v>
      </c>
      <c r="F126" s="214" t="s">
        <v>386</v>
      </c>
      <c r="G126" s="215" t="s">
        <v>370</v>
      </c>
      <c r="H126" s="216">
        <v>3.2</v>
      </c>
      <c r="I126" s="81"/>
      <c r="J126" s="19">
        <f t="shared" si="6"/>
        <v>0</v>
      </c>
      <c r="K126" s="217" t="e">
        <f t="shared" si="7"/>
        <v>#DIV/0!</v>
      </c>
      <c r="L126" s="72"/>
    </row>
    <row r="127" spans="1:12" ht="12.75" outlineLevel="1">
      <c r="A127" s="80"/>
      <c r="B127" s="61">
        <f t="shared" si="8"/>
        <v>2.3699999999999997</v>
      </c>
      <c r="C127" s="12" t="s">
        <v>243</v>
      </c>
      <c r="D127" s="21">
        <v>80275</v>
      </c>
      <c r="E127" s="213" t="s">
        <v>479</v>
      </c>
      <c r="F127" s="214" t="s">
        <v>387</v>
      </c>
      <c r="G127" s="215" t="s">
        <v>370</v>
      </c>
      <c r="H127" s="216">
        <v>3.2</v>
      </c>
      <c r="I127" s="81"/>
      <c r="J127" s="19">
        <f t="shared" si="6"/>
        <v>0</v>
      </c>
      <c r="K127" s="217" t="e">
        <f t="shared" si="7"/>
        <v>#DIV/0!</v>
      </c>
      <c r="L127" s="72"/>
    </row>
    <row r="128" spans="1:12" s="7" customFormat="1" ht="14.25" outlineLevel="1">
      <c r="A128" s="89">
        <v>41.25</v>
      </c>
      <c r="B128" s="61">
        <f>B130*10</f>
        <v>399.5</v>
      </c>
      <c r="C128" s="12" t="s">
        <v>244</v>
      </c>
      <c r="D128" s="9">
        <v>60130</v>
      </c>
      <c r="E128" s="221" t="s">
        <v>479</v>
      </c>
      <c r="F128" s="222" t="s">
        <v>378</v>
      </c>
      <c r="G128" s="223" t="s">
        <v>60</v>
      </c>
      <c r="H128" s="216">
        <v>525.4</v>
      </c>
      <c r="I128" s="85"/>
      <c r="J128" s="13">
        <f t="shared" si="6"/>
        <v>0</v>
      </c>
      <c r="K128" s="224" t="e">
        <f t="shared" si="7"/>
        <v>#DIV/0!</v>
      </c>
      <c r="L128" s="72"/>
    </row>
    <row r="129" spans="1:12" s="7" customFormat="1" ht="14.25" outlineLevel="1">
      <c r="A129" s="85"/>
      <c r="B129" s="61">
        <f>B130*10</f>
        <v>399.5</v>
      </c>
      <c r="C129" s="12" t="s">
        <v>245</v>
      </c>
      <c r="D129" s="9">
        <v>60131</v>
      </c>
      <c r="E129" s="221" t="s">
        <v>479</v>
      </c>
      <c r="F129" s="222" t="s">
        <v>379</v>
      </c>
      <c r="G129" s="223" t="s">
        <v>60</v>
      </c>
      <c r="H129" s="216">
        <v>525.4</v>
      </c>
      <c r="I129" s="85"/>
      <c r="J129" s="13">
        <f t="shared" si="6"/>
        <v>0</v>
      </c>
      <c r="K129" s="224" t="e">
        <f t="shared" si="7"/>
        <v>#DIV/0!</v>
      </c>
      <c r="L129" s="72"/>
    </row>
    <row r="130" spans="1:12" s="7" customFormat="1" ht="38.25" outlineLevel="1">
      <c r="A130" s="89">
        <v>53.62</v>
      </c>
      <c r="B130" s="61">
        <v>39.95</v>
      </c>
      <c r="C130" s="12" t="s">
        <v>246</v>
      </c>
      <c r="D130" s="9" t="s">
        <v>186</v>
      </c>
      <c r="E130" s="221" t="s">
        <v>666</v>
      </c>
      <c r="F130" s="222" t="s">
        <v>380</v>
      </c>
      <c r="G130" s="223" t="s">
        <v>370</v>
      </c>
      <c r="H130" s="216">
        <v>52.54</v>
      </c>
      <c r="I130" s="85"/>
      <c r="J130" s="13">
        <f t="shared" si="6"/>
        <v>0</v>
      </c>
      <c r="K130" s="224" t="e">
        <f t="shared" si="7"/>
        <v>#DIV/0!</v>
      </c>
      <c r="L130" s="72"/>
    </row>
    <row r="131" spans="1:12" s="7" customFormat="1" ht="25.5" outlineLevel="1">
      <c r="A131" s="83">
        <v>87.01</v>
      </c>
      <c r="B131" s="61">
        <f>((20.31+1.95+1.95)*2.7-(0.8*2.1*2+0.9*2.1*1+1.65*0.6*2+0.65*0.6))+((11.22*2.7)-(0.8*2.1+1.65*0.6))*2+((8*2.7)-(0.9*2.1+0.65*0.6))</f>
        <v>132.315</v>
      </c>
      <c r="C131" s="12" t="s">
        <v>247</v>
      </c>
      <c r="D131" s="9" t="s">
        <v>480</v>
      </c>
      <c r="E131" s="221" t="s">
        <v>666</v>
      </c>
      <c r="F131" s="222" t="s">
        <v>678</v>
      </c>
      <c r="G131" s="223" t="s">
        <v>19</v>
      </c>
      <c r="H131" s="216">
        <v>20.44</v>
      </c>
      <c r="I131" s="85"/>
      <c r="J131" s="13">
        <f aca="true" t="shared" si="9" ref="J131:J162">ROUND(_xlfn.IFERROR(H131*I131," - "),2)</f>
        <v>0</v>
      </c>
      <c r="K131" s="224" t="e">
        <f aca="true" t="shared" si="10" ref="K131:K162">J131/$I$394</f>
        <v>#DIV/0!</v>
      </c>
      <c r="L131" s="72"/>
    </row>
    <row r="132" spans="1:12" ht="25.5" outlineLevel="1">
      <c r="A132" s="83">
        <v>87.01</v>
      </c>
      <c r="B132" s="61">
        <f>((20.31+1.95+1.95)*2.7-(0.8*2.1*2+0.9*2.1*1+1.65*0.6*2+0.65*0.6))+((11.22*2.7)-(0.8*2.1+1.65*0.6))*2+((8*2.7)-(0.9*2.1+0.65*0.6))</f>
        <v>132.315</v>
      </c>
      <c r="C132" s="12" t="s">
        <v>248</v>
      </c>
      <c r="D132" s="9" t="s">
        <v>481</v>
      </c>
      <c r="E132" s="221" t="s">
        <v>666</v>
      </c>
      <c r="F132" s="222" t="s">
        <v>679</v>
      </c>
      <c r="G132" s="223" t="s">
        <v>19</v>
      </c>
      <c r="H132" s="216">
        <v>10.27</v>
      </c>
      <c r="I132" s="85"/>
      <c r="J132" s="13">
        <f t="shared" si="9"/>
        <v>0</v>
      </c>
      <c r="K132" s="224" t="e">
        <f t="shared" si="10"/>
        <v>#DIV/0!</v>
      </c>
      <c r="L132" s="72"/>
    </row>
    <row r="133" spans="1:12" ht="12.75" outlineLevel="1">
      <c r="A133" s="80"/>
      <c r="B133" s="61">
        <f t="shared" si="8"/>
        <v>2.3699999999999997</v>
      </c>
      <c r="C133" s="12" t="s">
        <v>249</v>
      </c>
      <c r="D133" s="21" t="s">
        <v>482</v>
      </c>
      <c r="E133" s="213" t="s">
        <v>666</v>
      </c>
      <c r="F133" s="214" t="s">
        <v>680</v>
      </c>
      <c r="G133" s="215" t="s">
        <v>23</v>
      </c>
      <c r="H133" s="216">
        <v>4</v>
      </c>
      <c r="I133" s="81"/>
      <c r="J133" s="19">
        <f t="shared" si="9"/>
        <v>0</v>
      </c>
      <c r="K133" s="217" t="e">
        <f t="shared" si="10"/>
        <v>#DIV/0!</v>
      </c>
      <c r="L133" s="72"/>
    </row>
    <row r="134" spans="1:12" ht="25.5" outlineLevel="1">
      <c r="A134" s="80"/>
      <c r="B134" s="61">
        <f t="shared" si="8"/>
        <v>2.3699999999999997</v>
      </c>
      <c r="C134" s="12" t="s">
        <v>250</v>
      </c>
      <c r="D134" s="21">
        <v>86884</v>
      </c>
      <c r="E134" s="213" t="s">
        <v>664</v>
      </c>
      <c r="F134" s="214" t="s">
        <v>681</v>
      </c>
      <c r="G134" s="215" t="s">
        <v>23</v>
      </c>
      <c r="H134" s="216">
        <v>4</v>
      </c>
      <c r="I134" s="81"/>
      <c r="J134" s="19">
        <f t="shared" si="9"/>
        <v>0</v>
      </c>
      <c r="K134" s="217" t="e">
        <f t="shared" si="10"/>
        <v>#DIV/0!</v>
      </c>
      <c r="L134" s="72"/>
    </row>
    <row r="135" spans="1:12" s="7" customFormat="1" ht="25.5" outlineLevel="1">
      <c r="A135" s="85">
        <v>44.6</v>
      </c>
      <c r="B135" s="61">
        <v>44.6</v>
      </c>
      <c r="C135" s="12" t="s">
        <v>251</v>
      </c>
      <c r="D135" s="9" t="s">
        <v>127</v>
      </c>
      <c r="E135" s="221" t="s">
        <v>665</v>
      </c>
      <c r="F135" s="222" t="s">
        <v>388</v>
      </c>
      <c r="G135" s="223" t="s">
        <v>19</v>
      </c>
      <c r="H135" s="216">
        <v>44.6</v>
      </c>
      <c r="I135" s="85"/>
      <c r="J135" s="13">
        <f t="shared" si="9"/>
        <v>0</v>
      </c>
      <c r="K135" s="224" t="e">
        <f t="shared" si="10"/>
        <v>#DIV/0!</v>
      </c>
      <c r="L135" s="72"/>
    </row>
    <row r="136" spans="1:12" s="7" customFormat="1" ht="25.5" outlineLevel="1">
      <c r="A136" s="85">
        <v>34.2</v>
      </c>
      <c r="B136" s="61">
        <v>34.2</v>
      </c>
      <c r="C136" s="12" t="s">
        <v>252</v>
      </c>
      <c r="D136" s="9" t="s">
        <v>128</v>
      </c>
      <c r="E136" s="221" t="s">
        <v>665</v>
      </c>
      <c r="F136" s="222" t="s">
        <v>389</v>
      </c>
      <c r="G136" s="223" t="s">
        <v>19</v>
      </c>
      <c r="H136" s="216">
        <v>34.2</v>
      </c>
      <c r="I136" s="85"/>
      <c r="J136" s="13">
        <f t="shared" si="9"/>
        <v>0</v>
      </c>
      <c r="K136" s="224" t="e">
        <f t="shared" si="10"/>
        <v>#DIV/0!</v>
      </c>
      <c r="L136" s="72"/>
    </row>
    <row r="137" spans="1:12" s="7" customFormat="1" ht="25.5" outlineLevel="1">
      <c r="A137" s="85">
        <v>44.5</v>
      </c>
      <c r="B137" s="61">
        <v>44.5</v>
      </c>
      <c r="C137" s="12" t="s">
        <v>253</v>
      </c>
      <c r="D137" s="9" t="s">
        <v>129</v>
      </c>
      <c r="E137" s="221" t="s">
        <v>665</v>
      </c>
      <c r="F137" s="222" t="s">
        <v>682</v>
      </c>
      <c r="G137" s="223" t="s">
        <v>19</v>
      </c>
      <c r="H137" s="216">
        <v>38.6</v>
      </c>
      <c r="I137" s="85"/>
      <c r="J137" s="13">
        <f t="shared" si="9"/>
        <v>0</v>
      </c>
      <c r="K137" s="224" t="e">
        <f t="shared" si="10"/>
        <v>#DIV/0!</v>
      </c>
      <c r="L137" s="72"/>
    </row>
    <row r="138" spans="1:12" s="7" customFormat="1" ht="25.5" outlineLevel="1">
      <c r="A138" s="85">
        <v>44.5</v>
      </c>
      <c r="B138" s="61">
        <v>44.5</v>
      </c>
      <c r="C138" s="12" t="s">
        <v>254</v>
      </c>
      <c r="D138" s="9" t="s">
        <v>130</v>
      </c>
      <c r="E138" s="221" t="s">
        <v>665</v>
      </c>
      <c r="F138" s="222" t="s">
        <v>390</v>
      </c>
      <c r="G138" s="223" t="s">
        <v>19</v>
      </c>
      <c r="H138" s="216">
        <v>44.5</v>
      </c>
      <c r="I138" s="85"/>
      <c r="J138" s="13">
        <f t="shared" si="9"/>
        <v>0</v>
      </c>
      <c r="K138" s="224" t="e">
        <f t="shared" si="10"/>
        <v>#DIV/0!</v>
      </c>
      <c r="L138" s="72"/>
    </row>
    <row r="139" spans="1:12" s="7" customFormat="1" ht="38.25" outlineLevel="1">
      <c r="A139" s="89">
        <v>39.7</v>
      </c>
      <c r="B139" s="61">
        <v>39.7</v>
      </c>
      <c r="C139" s="12" t="s">
        <v>255</v>
      </c>
      <c r="D139" s="9" t="s">
        <v>133</v>
      </c>
      <c r="E139" s="221" t="s">
        <v>665</v>
      </c>
      <c r="F139" s="222" t="s">
        <v>392</v>
      </c>
      <c r="G139" s="223" t="s">
        <v>19</v>
      </c>
      <c r="H139" s="216">
        <v>39.7</v>
      </c>
      <c r="I139" s="85"/>
      <c r="J139" s="13">
        <f t="shared" si="9"/>
        <v>0</v>
      </c>
      <c r="K139" s="224" t="e">
        <f t="shared" si="10"/>
        <v>#DIV/0!</v>
      </c>
      <c r="L139" s="72"/>
    </row>
    <row r="140" spans="1:12" s="7" customFormat="1" ht="38.25" outlineLevel="1">
      <c r="A140" s="89">
        <v>51.5</v>
      </c>
      <c r="B140" s="61">
        <v>51.5</v>
      </c>
      <c r="C140" s="12" t="s">
        <v>256</v>
      </c>
      <c r="D140" s="9" t="s">
        <v>134</v>
      </c>
      <c r="E140" s="221" t="s">
        <v>665</v>
      </c>
      <c r="F140" s="222" t="s">
        <v>393</v>
      </c>
      <c r="G140" s="223" t="s">
        <v>19</v>
      </c>
      <c r="H140" s="216">
        <v>51.5</v>
      </c>
      <c r="I140" s="85"/>
      <c r="J140" s="13">
        <f t="shared" si="9"/>
        <v>0</v>
      </c>
      <c r="K140" s="224" t="e">
        <f t="shared" si="10"/>
        <v>#DIV/0!</v>
      </c>
      <c r="L140" s="72"/>
    </row>
    <row r="141" spans="1:12" s="7" customFormat="1" ht="25.5" outlineLevel="1">
      <c r="A141" s="89">
        <v>2</v>
      </c>
      <c r="B141" s="61">
        <v>2</v>
      </c>
      <c r="C141" s="12" t="s">
        <v>257</v>
      </c>
      <c r="D141" s="21" t="s">
        <v>139</v>
      </c>
      <c r="E141" s="221" t="s">
        <v>665</v>
      </c>
      <c r="F141" s="222" t="s">
        <v>395</v>
      </c>
      <c r="G141" s="223" t="s">
        <v>23</v>
      </c>
      <c r="H141" s="216">
        <v>4</v>
      </c>
      <c r="I141" s="85"/>
      <c r="J141" s="13">
        <f t="shared" si="9"/>
        <v>0</v>
      </c>
      <c r="K141" s="224" t="e">
        <f t="shared" si="10"/>
        <v>#DIV/0!</v>
      </c>
      <c r="L141" s="72"/>
    </row>
    <row r="142" spans="1:12" s="7" customFormat="1" ht="25.5" outlineLevel="1">
      <c r="A142" s="89">
        <v>2</v>
      </c>
      <c r="B142" s="61">
        <v>2</v>
      </c>
      <c r="C142" s="12" t="s">
        <v>258</v>
      </c>
      <c r="D142" s="9" t="s">
        <v>140</v>
      </c>
      <c r="E142" s="221" t="s">
        <v>665</v>
      </c>
      <c r="F142" s="222" t="s">
        <v>396</v>
      </c>
      <c r="G142" s="223" t="s">
        <v>23</v>
      </c>
      <c r="H142" s="216">
        <v>4</v>
      </c>
      <c r="I142" s="85"/>
      <c r="J142" s="13">
        <f t="shared" si="9"/>
        <v>0</v>
      </c>
      <c r="K142" s="224" t="e">
        <f t="shared" si="10"/>
        <v>#DIV/0!</v>
      </c>
      <c r="L142" s="72"/>
    </row>
    <row r="143" spans="1:12" s="7" customFormat="1" ht="25.5" outlineLevel="1">
      <c r="A143" s="83">
        <v>7</v>
      </c>
      <c r="B143" s="61">
        <v>7</v>
      </c>
      <c r="C143" s="12" t="s">
        <v>259</v>
      </c>
      <c r="D143" s="9" t="s">
        <v>142</v>
      </c>
      <c r="E143" s="221" t="s">
        <v>665</v>
      </c>
      <c r="F143" s="222" t="s">
        <v>397</v>
      </c>
      <c r="G143" s="223" t="s">
        <v>23</v>
      </c>
      <c r="H143" s="216">
        <v>4</v>
      </c>
      <c r="I143" s="85"/>
      <c r="J143" s="13">
        <f t="shared" si="9"/>
        <v>0</v>
      </c>
      <c r="K143" s="224" t="e">
        <f t="shared" si="10"/>
        <v>#DIV/0!</v>
      </c>
      <c r="L143" s="72"/>
    </row>
    <row r="144" spans="1:12" ht="25.5" outlineLevel="1">
      <c r="A144" s="83"/>
      <c r="B144" s="61">
        <v>4</v>
      </c>
      <c r="C144" s="12" t="s">
        <v>260</v>
      </c>
      <c r="D144" s="9" t="s">
        <v>189</v>
      </c>
      <c r="E144" s="221" t="s">
        <v>666</v>
      </c>
      <c r="F144" s="222" t="s">
        <v>407</v>
      </c>
      <c r="G144" s="223" t="s">
        <v>23</v>
      </c>
      <c r="H144" s="216">
        <v>4</v>
      </c>
      <c r="I144" s="85"/>
      <c r="J144" s="13">
        <f t="shared" si="9"/>
        <v>0</v>
      </c>
      <c r="K144" s="224" t="e">
        <f t="shared" si="10"/>
        <v>#DIV/0!</v>
      </c>
      <c r="L144" s="72"/>
    </row>
    <row r="145" spans="1:12" ht="25.5" outlineLevel="1">
      <c r="A145" s="83"/>
      <c r="B145" s="61">
        <v>3</v>
      </c>
      <c r="C145" s="12" t="s">
        <v>261</v>
      </c>
      <c r="D145" s="9" t="s">
        <v>190</v>
      </c>
      <c r="E145" s="221" t="s">
        <v>666</v>
      </c>
      <c r="F145" s="222" t="s">
        <v>408</v>
      </c>
      <c r="G145" s="223" t="s">
        <v>23</v>
      </c>
      <c r="H145" s="216">
        <v>4</v>
      </c>
      <c r="I145" s="85"/>
      <c r="J145" s="13">
        <f t="shared" si="9"/>
        <v>0</v>
      </c>
      <c r="K145" s="224" t="e">
        <f t="shared" si="10"/>
        <v>#DIV/0!</v>
      </c>
      <c r="L145" s="72"/>
    </row>
    <row r="146" spans="1:12" ht="25.5" outlineLevel="1">
      <c r="A146" s="83"/>
      <c r="B146" s="61">
        <v>1</v>
      </c>
      <c r="C146" s="12" t="s">
        <v>262</v>
      </c>
      <c r="D146" s="9" t="s">
        <v>92</v>
      </c>
      <c r="E146" s="221" t="s">
        <v>665</v>
      </c>
      <c r="F146" s="222" t="s">
        <v>423</v>
      </c>
      <c r="G146" s="223" t="s">
        <v>23</v>
      </c>
      <c r="H146" s="216">
        <v>2</v>
      </c>
      <c r="I146" s="85"/>
      <c r="J146" s="13">
        <f t="shared" si="9"/>
        <v>0</v>
      </c>
      <c r="K146" s="224" t="e">
        <f t="shared" si="10"/>
        <v>#DIV/0!</v>
      </c>
      <c r="L146" s="72"/>
    </row>
    <row r="147" spans="1:12" ht="25.5" outlineLevel="1">
      <c r="A147" s="83"/>
      <c r="B147" s="61">
        <v>1</v>
      </c>
      <c r="C147" s="12" t="s">
        <v>263</v>
      </c>
      <c r="D147" s="9" t="s">
        <v>96</v>
      </c>
      <c r="E147" s="221" t="s">
        <v>665</v>
      </c>
      <c r="F147" s="222" t="s">
        <v>693</v>
      </c>
      <c r="G147" s="223" t="s">
        <v>23</v>
      </c>
      <c r="H147" s="216">
        <v>2</v>
      </c>
      <c r="I147" s="85"/>
      <c r="J147" s="13">
        <f t="shared" si="9"/>
        <v>0</v>
      </c>
      <c r="K147" s="224" t="e">
        <f t="shared" si="10"/>
        <v>#DIV/0!</v>
      </c>
      <c r="L147" s="72"/>
    </row>
    <row r="148" spans="1:12" ht="12.75" outlineLevel="1">
      <c r="A148" s="83"/>
      <c r="B148" s="61">
        <v>1</v>
      </c>
      <c r="C148" s="12" t="s">
        <v>326</v>
      </c>
      <c r="D148" s="9" t="s">
        <v>187</v>
      </c>
      <c r="E148" s="221" t="s">
        <v>666</v>
      </c>
      <c r="F148" s="222" t="s">
        <v>424</v>
      </c>
      <c r="G148" s="223" t="s">
        <v>54</v>
      </c>
      <c r="H148" s="216">
        <v>2</v>
      </c>
      <c r="I148" s="85"/>
      <c r="J148" s="13">
        <f t="shared" si="9"/>
        <v>0</v>
      </c>
      <c r="K148" s="224" t="e">
        <f t="shared" si="10"/>
        <v>#DIV/0!</v>
      </c>
      <c r="L148" s="72"/>
    </row>
    <row r="149" spans="1:12" ht="12.75" outlineLevel="1">
      <c r="A149" s="83"/>
      <c r="B149" s="61">
        <v>1</v>
      </c>
      <c r="C149" s="12" t="s">
        <v>327</v>
      </c>
      <c r="D149" s="9" t="s">
        <v>188</v>
      </c>
      <c r="E149" s="221" t="s">
        <v>666</v>
      </c>
      <c r="F149" s="222" t="s">
        <v>425</v>
      </c>
      <c r="G149" s="223" t="s">
        <v>54</v>
      </c>
      <c r="H149" s="216">
        <v>2</v>
      </c>
      <c r="I149" s="85"/>
      <c r="J149" s="13">
        <f t="shared" si="9"/>
        <v>0</v>
      </c>
      <c r="K149" s="224" t="e">
        <f t="shared" si="10"/>
        <v>#DIV/0!</v>
      </c>
      <c r="L149" s="72"/>
    </row>
    <row r="150" spans="1:12" ht="12.75" outlineLevel="1">
      <c r="A150" s="83">
        <v>4</v>
      </c>
      <c r="B150" s="61">
        <v>4</v>
      </c>
      <c r="C150" s="12" t="s">
        <v>328</v>
      </c>
      <c r="D150" s="9" t="s">
        <v>503</v>
      </c>
      <c r="E150" s="221" t="s">
        <v>666</v>
      </c>
      <c r="F150" s="222" t="s">
        <v>694</v>
      </c>
      <c r="G150" s="223" t="s">
        <v>54</v>
      </c>
      <c r="H150" s="216">
        <v>2</v>
      </c>
      <c r="I150" s="85"/>
      <c r="J150" s="13">
        <f t="shared" si="9"/>
        <v>0</v>
      </c>
      <c r="K150" s="224" t="e">
        <f t="shared" si="10"/>
        <v>#DIV/0!</v>
      </c>
      <c r="L150" s="72"/>
    </row>
    <row r="151" spans="1:12" ht="25.5" outlineLevel="1">
      <c r="A151" s="83">
        <v>4</v>
      </c>
      <c r="B151" s="61">
        <f>4*2</f>
        <v>8</v>
      </c>
      <c r="C151" s="12" t="s">
        <v>329</v>
      </c>
      <c r="D151" s="31">
        <v>100873</v>
      </c>
      <c r="E151" s="221" t="s">
        <v>664</v>
      </c>
      <c r="F151" s="222" t="s">
        <v>695</v>
      </c>
      <c r="G151" s="223" t="s">
        <v>23</v>
      </c>
      <c r="H151" s="216">
        <v>8</v>
      </c>
      <c r="I151" s="85"/>
      <c r="J151" s="13">
        <f t="shared" si="9"/>
        <v>0</v>
      </c>
      <c r="K151" s="224" t="e">
        <f t="shared" si="10"/>
        <v>#DIV/0!</v>
      </c>
      <c r="L151" s="72"/>
    </row>
    <row r="152" spans="1:12" ht="12.75" outlineLevel="1">
      <c r="A152" s="83">
        <v>4</v>
      </c>
      <c r="B152" s="61">
        <v>4</v>
      </c>
      <c r="C152" s="12" t="s">
        <v>330</v>
      </c>
      <c r="D152" s="9" t="s">
        <v>123</v>
      </c>
      <c r="E152" s="221" t="s">
        <v>665</v>
      </c>
      <c r="F152" s="222" t="s">
        <v>398</v>
      </c>
      <c r="G152" s="223" t="s">
        <v>23</v>
      </c>
      <c r="H152" s="216">
        <v>2</v>
      </c>
      <c r="I152" s="85"/>
      <c r="J152" s="13">
        <f t="shared" si="9"/>
        <v>0</v>
      </c>
      <c r="K152" s="224" t="e">
        <f t="shared" si="10"/>
        <v>#DIV/0!</v>
      </c>
      <c r="L152" s="72"/>
    </row>
    <row r="153" spans="1:12" s="7" customFormat="1" ht="14.25" outlineLevel="1">
      <c r="A153" s="85">
        <v>4</v>
      </c>
      <c r="B153" s="61">
        <v>4</v>
      </c>
      <c r="C153" s="12" t="s">
        <v>331</v>
      </c>
      <c r="D153" s="9" t="s">
        <v>125</v>
      </c>
      <c r="E153" s="221" t="s">
        <v>665</v>
      </c>
      <c r="F153" s="222" t="s">
        <v>685</v>
      </c>
      <c r="G153" s="223" t="s">
        <v>23</v>
      </c>
      <c r="H153" s="216">
        <v>2</v>
      </c>
      <c r="I153" s="85"/>
      <c r="J153" s="13">
        <f t="shared" si="9"/>
        <v>0</v>
      </c>
      <c r="K153" s="224" t="e">
        <f t="shared" si="10"/>
        <v>#DIV/0!</v>
      </c>
      <c r="L153" s="72"/>
    </row>
    <row r="154" spans="1:12" s="7" customFormat="1" ht="14.25" outlineLevel="1">
      <c r="A154" s="85">
        <v>4</v>
      </c>
      <c r="B154" s="61">
        <v>4</v>
      </c>
      <c r="C154" s="12" t="s">
        <v>332</v>
      </c>
      <c r="D154" s="9" t="s">
        <v>126</v>
      </c>
      <c r="E154" s="221" t="s">
        <v>665</v>
      </c>
      <c r="F154" s="222" t="s">
        <v>399</v>
      </c>
      <c r="G154" s="223" t="s">
        <v>23</v>
      </c>
      <c r="H154" s="216">
        <v>2</v>
      </c>
      <c r="I154" s="85"/>
      <c r="J154" s="13">
        <f t="shared" si="9"/>
        <v>0</v>
      </c>
      <c r="K154" s="224" t="e">
        <f t="shared" si="10"/>
        <v>#DIV/0!</v>
      </c>
      <c r="L154" s="72"/>
    </row>
    <row r="155" spans="1:12" ht="25.5" outlineLevel="1">
      <c r="A155" s="83">
        <v>4</v>
      </c>
      <c r="B155" s="61">
        <v>4</v>
      </c>
      <c r="C155" s="12" t="s">
        <v>365</v>
      </c>
      <c r="D155" s="9" t="s">
        <v>147</v>
      </c>
      <c r="E155" s="221" t="s">
        <v>665</v>
      </c>
      <c r="F155" s="222" t="s">
        <v>400</v>
      </c>
      <c r="G155" s="223" t="s">
        <v>23</v>
      </c>
      <c r="H155" s="216">
        <v>4</v>
      </c>
      <c r="I155" s="85"/>
      <c r="J155" s="13">
        <f t="shared" si="9"/>
        <v>0</v>
      </c>
      <c r="K155" s="224" t="e">
        <f t="shared" si="10"/>
        <v>#DIV/0!</v>
      </c>
      <c r="L155" s="72"/>
    </row>
    <row r="156" spans="1:12" s="7" customFormat="1" ht="14.25" outlineLevel="1">
      <c r="A156" s="85">
        <v>4</v>
      </c>
      <c r="B156" s="61">
        <v>4</v>
      </c>
      <c r="C156" s="12" t="s">
        <v>366</v>
      </c>
      <c r="D156" s="14" t="s">
        <v>149</v>
      </c>
      <c r="E156" s="221" t="s">
        <v>665</v>
      </c>
      <c r="F156" s="222" t="s">
        <v>401</v>
      </c>
      <c r="G156" s="223" t="s">
        <v>23</v>
      </c>
      <c r="H156" s="216">
        <v>4</v>
      </c>
      <c r="I156" s="85"/>
      <c r="J156" s="13">
        <f t="shared" si="9"/>
        <v>0</v>
      </c>
      <c r="K156" s="224" t="e">
        <f t="shared" si="10"/>
        <v>#DIV/0!</v>
      </c>
      <c r="L156" s="72"/>
    </row>
    <row r="157" spans="1:12" s="7" customFormat="1" ht="25.5" outlineLevel="1">
      <c r="A157" s="85">
        <v>4</v>
      </c>
      <c r="B157" s="61">
        <v>4</v>
      </c>
      <c r="C157" s="12" t="s">
        <v>367</v>
      </c>
      <c r="D157" s="9" t="s">
        <v>124</v>
      </c>
      <c r="E157" s="221" t="s">
        <v>665</v>
      </c>
      <c r="F157" s="222" t="s">
        <v>402</v>
      </c>
      <c r="G157" s="223" t="s">
        <v>54</v>
      </c>
      <c r="H157" s="216">
        <v>2</v>
      </c>
      <c r="I157" s="85"/>
      <c r="J157" s="13">
        <f t="shared" si="9"/>
        <v>0</v>
      </c>
      <c r="K157" s="224" t="e">
        <f t="shared" si="10"/>
        <v>#DIV/0!</v>
      </c>
      <c r="L157" s="72"/>
    </row>
    <row r="158" spans="1:12" s="7" customFormat="1" ht="14.25" outlineLevel="1">
      <c r="A158" s="85">
        <v>8</v>
      </c>
      <c r="B158" s="61">
        <f>1.2*1.9*2+(1.66-1.2)*1.9*2</f>
        <v>6.308</v>
      </c>
      <c r="C158" s="12" t="s">
        <v>465</v>
      </c>
      <c r="D158" s="9" t="s">
        <v>79</v>
      </c>
      <c r="E158" s="221" t="s">
        <v>665</v>
      </c>
      <c r="F158" s="222" t="s">
        <v>403</v>
      </c>
      <c r="G158" s="223" t="s">
        <v>370</v>
      </c>
      <c r="H158" s="216">
        <v>3.2</v>
      </c>
      <c r="I158" s="85"/>
      <c r="J158" s="13">
        <f t="shared" si="9"/>
        <v>0</v>
      </c>
      <c r="K158" s="224" t="e">
        <f t="shared" si="10"/>
        <v>#DIV/0!</v>
      </c>
      <c r="L158" s="72"/>
    </row>
    <row r="159" spans="1:12" s="7" customFormat="1" ht="25.5" outlineLevel="1">
      <c r="A159" s="85">
        <v>4</v>
      </c>
      <c r="B159" s="61">
        <v>4</v>
      </c>
      <c r="C159" s="12" t="s">
        <v>466</v>
      </c>
      <c r="D159" s="14" t="s">
        <v>86</v>
      </c>
      <c r="E159" s="221" t="s">
        <v>665</v>
      </c>
      <c r="F159" s="222" t="s">
        <v>404</v>
      </c>
      <c r="G159" s="223" t="s">
        <v>23</v>
      </c>
      <c r="H159" s="216">
        <v>2</v>
      </c>
      <c r="I159" s="85"/>
      <c r="J159" s="13">
        <f t="shared" si="9"/>
        <v>0</v>
      </c>
      <c r="K159" s="224" t="e">
        <f t="shared" si="10"/>
        <v>#DIV/0!</v>
      </c>
      <c r="L159" s="72"/>
    </row>
    <row r="160" spans="1:12" s="7" customFormat="1" ht="25.5" outlineLevel="1">
      <c r="A160" s="89">
        <v>4</v>
      </c>
      <c r="B160" s="61">
        <v>4</v>
      </c>
      <c r="C160" s="12" t="s">
        <v>467</v>
      </c>
      <c r="D160" s="9" t="s">
        <v>91</v>
      </c>
      <c r="E160" s="221" t="s">
        <v>665</v>
      </c>
      <c r="F160" s="222" t="s">
        <v>405</v>
      </c>
      <c r="G160" s="223" t="s">
        <v>54</v>
      </c>
      <c r="H160" s="216">
        <v>2</v>
      </c>
      <c r="I160" s="85"/>
      <c r="J160" s="13">
        <f t="shared" si="9"/>
        <v>0</v>
      </c>
      <c r="K160" s="224" t="e">
        <f t="shared" si="10"/>
        <v>#DIV/0!</v>
      </c>
      <c r="L160" s="72"/>
    </row>
    <row r="161" spans="1:12" s="7" customFormat="1" ht="14.25" outlineLevel="1">
      <c r="A161" s="89">
        <v>2</v>
      </c>
      <c r="B161" s="61">
        <f>(2.1*1*2)+(2.1*0.9*2)</f>
        <v>7.98</v>
      </c>
      <c r="C161" s="12" t="s">
        <v>468</v>
      </c>
      <c r="D161" s="212" t="s">
        <v>88</v>
      </c>
      <c r="E161" s="221" t="s">
        <v>665</v>
      </c>
      <c r="F161" s="222" t="s">
        <v>406</v>
      </c>
      <c r="G161" s="223" t="s">
        <v>370</v>
      </c>
      <c r="H161" s="216">
        <v>7.98</v>
      </c>
      <c r="I161" s="85"/>
      <c r="J161" s="13">
        <f t="shared" si="9"/>
        <v>0</v>
      </c>
      <c r="K161" s="224" t="e">
        <f t="shared" si="10"/>
        <v>#DIV/0!</v>
      </c>
      <c r="L161" s="72"/>
    </row>
    <row r="162" spans="1:12" s="7" customFormat="1" ht="14.25" outlineLevel="1">
      <c r="A162" s="89">
        <v>47.400000000000006</v>
      </c>
      <c r="B162" s="61">
        <f>B117</f>
        <v>132.315</v>
      </c>
      <c r="C162" s="12" t="s">
        <v>506</v>
      </c>
      <c r="D162" s="9" t="s">
        <v>98</v>
      </c>
      <c r="E162" s="221" t="s">
        <v>665</v>
      </c>
      <c r="F162" s="222" t="s">
        <v>411</v>
      </c>
      <c r="G162" s="223" t="s">
        <v>370</v>
      </c>
      <c r="H162" s="216">
        <v>57.75</v>
      </c>
      <c r="I162" s="85"/>
      <c r="J162" s="13">
        <f t="shared" si="9"/>
        <v>0</v>
      </c>
      <c r="K162" s="224" t="e">
        <f t="shared" si="10"/>
        <v>#DIV/0!</v>
      </c>
      <c r="L162" s="72"/>
    </row>
    <row r="163" spans="1:12" s="7" customFormat="1" ht="25.5" outlineLevel="1">
      <c r="A163" s="89">
        <v>4</v>
      </c>
      <c r="B163" s="61">
        <f>B161*2.5+B124</f>
        <v>22.320000000000004</v>
      </c>
      <c r="C163" s="12" t="s">
        <v>507</v>
      </c>
      <c r="D163" s="21" t="s">
        <v>181</v>
      </c>
      <c r="E163" s="221" t="s">
        <v>665</v>
      </c>
      <c r="F163" s="222" t="s">
        <v>410</v>
      </c>
      <c r="G163" s="223" t="s">
        <v>370</v>
      </c>
      <c r="H163" s="216">
        <v>22.32</v>
      </c>
      <c r="I163" s="85"/>
      <c r="J163" s="13">
        <f aca="true" t="shared" si="11" ref="J163:J177">ROUND(_xlfn.IFERROR(H163*I163," - "),2)</f>
        <v>0</v>
      </c>
      <c r="K163" s="224" t="e">
        <f aca="true" t="shared" si="12" ref="K163:K177">J163/$I$394</f>
        <v>#DIV/0!</v>
      </c>
      <c r="L163" s="72"/>
    </row>
    <row r="164" spans="1:12" s="7" customFormat="1" ht="14.25" outlineLevel="1">
      <c r="A164" s="89">
        <v>12.09</v>
      </c>
      <c r="B164" s="61">
        <f>B159*0.6*1.5*2.5</f>
        <v>9</v>
      </c>
      <c r="C164" s="12" t="s">
        <v>508</v>
      </c>
      <c r="D164" s="9" t="s">
        <v>174</v>
      </c>
      <c r="E164" s="221" t="s">
        <v>665</v>
      </c>
      <c r="F164" s="222" t="s">
        <v>412</v>
      </c>
      <c r="G164" s="223" t="s">
        <v>370</v>
      </c>
      <c r="H164" s="216">
        <v>9</v>
      </c>
      <c r="I164" s="85"/>
      <c r="J164" s="13">
        <f t="shared" si="11"/>
        <v>0</v>
      </c>
      <c r="K164" s="224" t="e">
        <f t="shared" si="12"/>
        <v>#DIV/0!</v>
      </c>
      <c r="L164" s="72"/>
    </row>
    <row r="165" spans="1:12" s="7" customFormat="1" ht="38.25" outlineLevel="1">
      <c r="A165" s="83">
        <v>1</v>
      </c>
      <c r="B165" s="83">
        <v>1</v>
      </c>
      <c r="C165" s="12" t="s">
        <v>509</v>
      </c>
      <c r="D165" s="9" t="s">
        <v>105</v>
      </c>
      <c r="E165" s="221" t="s">
        <v>665</v>
      </c>
      <c r="F165" s="222" t="s">
        <v>415</v>
      </c>
      <c r="G165" s="223" t="s">
        <v>23</v>
      </c>
      <c r="H165" s="216">
        <v>1</v>
      </c>
      <c r="I165" s="85"/>
      <c r="J165" s="13">
        <f t="shared" si="11"/>
        <v>0</v>
      </c>
      <c r="K165" s="224" t="e">
        <f t="shared" si="12"/>
        <v>#DIV/0!</v>
      </c>
      <c r="L165" s="72"/>
    </row>
    <row r="166" spans="1:12" s="7" customFormat="1" ht="14.25" outlineLevel="1">
      <c r="A166" s="83">
        <v>40</v>
      </c>
      <c r="B166" s="83">
        <v>40</v>
      </c>
      <c r="C166" s="12" t="s">
        <v>510</v>
      </c>
      <c r="D166" s="9" t="s">
        <v>107</v>
      </c>
      <c r="E166" s="221" t="s">
        <v>665</v>
      </c>
      <c r="F166" s="222" t="s">
        <v>688</v>
      </c>
      <c r="G166" s="223" t="s">
        <v>19</v>
      </c>
      <c r="H166" s="216">
        <v>20</v>
      </c>
      <c r="I166" s="85"/>
      <c r="J166" s="13">
        <f t="shared" si="11"/>
        <v>0</v>
      </c>
      <c r="K166" s="224" t="e">
        <f t="shared" si="12"/>
        <v>#DIV/0!</v>
      </c>
      <c r="L166" s="72"/>
    </row>
    <row r="167" spans="1:12" ht="25.5" outlineLevel="1">
      <c r="A167" s="83">
        <v>45</v>
      </c>
      <c r="B167" s="83">
        <v>45</v>
      </c>
      <c r="C167" s="12" t="s">
        <v>511</v>
      </c>
      <c r="D167" s="9" t="s">
        <v>108</v>
      </c>
      <c r="E167" s="221" t="s">
        <v>665</v>
      </c>
      <c r="F167" s="222" t="s">
        <v>689</v>
      </c>
      <c r="G167" s="223" t="s">
        <v>19</v>
      </c>
      <c r="H167" s="216">
        <v>45</v>
      </c>
      <c r="I167" s="85"/>
      <c r="J167" s="13">
        <f t="shared" si="11"/>
        <v>0</v>
      </c>
      <c r="K167" s="224" t="e">
        <f t="shared" si="12"/>
        <v>#DIV/0!</v>
      </c>
      <c r="L167" s="72"/>
    </row>
    <row r="168" spans="1:12" s="7" customFormat="1" ht="25.5" outlineLevel="1">
      <c r="A168" s="83">
        <v>40</v>
      </c>
      <c r="B168" s="83">
        <v>40</v>
      </c>
      <c r="C168" s="12" t="s">
        <v>512</v>
      </c>
      <c r="D168" s="9" t="s">
        <v>109</v>
      </c>
      <c r="E168" s="221" t="s">
        <v>665</v>
      </c>
      <c r="F168" s="222" t="s">
        <v>416</v>
      </c>
      <c r="G168" s="223" t="s">
        <v>19</v>
      </c>
      <c r="H168" s="216">
        <v>50</v>
      </c>
      <c r="I168" s="85"/>
      <c r="J168" s="13">
        <f t="shared" si="11"/>
        <v>0</v>
      </c>
      <c r="K168" s="224" t="e">
        <f t="shared" si="12"/>
        <v>#DIV/0!</v>
      </c>
      <c r="L168" s="72"/>
    </row>
    <row r="169" spans="1:12" ht="25.5" outlineLevel="1">
      <c r="A169" s="83">
        <v>45</v>
      </c>
      <c r="B169" s="83">
        <v>45</v>
      </c>
      <c r="C169" s="12" t="s">
        <v>513</v>
      </c>
      <c r="D169" s="9" t="s">
        <v>110</v>
      </c>
      <c r="E169" s="221" t="s">
        <v>665</v>
      </c>
      <c r="F169" s="222" t="s">
        <v>417</v>
      </c>
      <c r="G169" s="223" t="s">
        <v>19</v>
      </c>
      <c r="H169" s="216">
        <v>60</v>
      </c>
      <c r="I169" s="85"/>
      <c r="J169" s="13">
        <f t="shared" si="11"/>
        <v>0</v>
      </c>
      <c r="K169" s="224" t="e">
        <f t="shared" si="12"/>
        <v>#DIV/0!</v>
      </c>
      <c r="L169" s="72"/>
    </row>
    <row r="170" spans="1:12" ht="25.5" outlineLevel="1">
      <c r="A170" s="83">
        <v>5</v>
      </c>
      <c r="B170" s="61">
        <v>6</v>
      </c>
      <c r="C170" s="12" t="s">
        <v>514</v>
      </c>
      <c r="D170" s="9" t="s">
        <v>173</v>
      </c>
      <c r="E170" s="221" t="s">
        <v>665</v>
      </c>
      <c r="F170" s="222" t="s">
        <v>696</v>
      </c>
      <c r="G170" s="223" t="s">
        <v>54</v>
      </c>
      <c r="H170" s="216">
        <v>2</v>
      </c>
      <c r="I170" s="85"/>
      <c r="J170" s="13">
        <f t="shared" si="11"/>
        <v>0</v>
      </c>
      <c r="K170" s="224" t="e">
        <f t="shared" si="12"/>
        <v>#DIV/0!</v>
      </c>
      <c r="L170" s="72"/>
    </row>
    <row r="171" spans="1:12" ht="25.5" outlineLevel="1">
      <c r="A171" s="83">
        <v>5</v>
      </c>
      <c r="B171" s="61">
        <v>6</v>
      </c>
      <c r="C171" s="12" t="s">
        <v>515</v>
      </c>
      <c r="D171" s="9" t="s">
        <v>121</v>
      </c>
      <c r="E171" s="221" t="s">
        <v>665</v>
      </c>
      <c r="F171" s="222" t="s">
        <v>418</v>
      </c>
      <c r="G171" s="223" t="s">
        <v>23</v>
      </c>
      <c r="H171" s="216">
        <v>4</v>
      </c>
      <c r="I171" s="85"/>
      <c r="J171" s="13">
        <f t="shared" si="11"/>
        <v>0</v>
      </c>
      <c r="K171" s="224" t="e">
        <f t="shared" si="12"/>
        <v>#DIV/0!</v>
      </c>
      <c r="L171" s="72"/>
    </row>
    <row r="172" spans="1:12" ht="25.5" outlineLevel="1">
      <c r="A172" s="80"/>
      <c r="B172" s="61">
        <v>4</v>
      </c>
      <c r="C172" s="12" t="s">
        <v>517</v>
      </c>
      <c r="D172" s="21" t="s">
        <v>117</v>
      </c>
      <c r="E172" s="213" t="s">
        <v>665</v>
      </c>
      <c r="F172" s="214" t="s">
        <v>690</v>
      </c>
      <c r="G172" s="215" t="s">
        <v>23</v>
      </c>
      <c r="H172" s="216">
        <v>8</v>
      </c>
      <c r="I172" s="81"/>
      <c r="J172" s="19">
        <f t="shared" si="11"/>
        <v>0</v>
      </c>
      <c r="K172" s="217" t="e">
        <f t="shared" si="12"/>
        <v>#DIV/0!</v>
      </c>
      <c r="L172" s="72"/>
    </row>
    <row r="173" spans="1:12" ht="25.5" outlineLevel="1">
      <c r="A173" s="80"/>
      <c r="B173" s="61">
        <v>4</v>
      </c>
      <c r="C173" s="12" t="s">
        <v>519</v>
      </c>
      <c r="D173" s="21" t="s">
        <v>183</v>
      </c>
      <c r="E173" s="213" t="s">
        <v>665</v>
      </c>
      <c r="F173" s="214" t="s">
        <v>419</v>
      </c>
      <c r="G173" s="215" t="s">
        <v>23</v>
      </c>
      <c r="H173" s="216">
        <v>4</v>
      </c>
      <c r="I173" s="81"/>
      <c r="J173" s="19">
        <f t="shared" si="11"/>
        <v>0</v>
      </c>
      <c r="K173" s="217" t="e">
        <f t="shared" si="12"/>
        <v>#DIV/0!</v>
      </c>
      <c r="L173" s="72"/>
    </row>
    <row r="174" spans="1:12" ht="12.75" outlineLevel="1">
      <c r="A174" s="80"/>
      <c r="B174" s="61">
        <v>4</v>
      </c>
      <c r="C174" s="12" t="s">
        <v>520</v>
      </c>
      <c r="D174" s="21" t="s">
        <v>162</v>
      </c>
      <c r="E174" s="213" t="s">
        <v>665</v>
      </c>
      <c r="F174" s="214" t="s">
        <v>691</v>
      </c>
      <c r="G174" s="215" t="s">
        <v>23</v>
      </c>
      <c r="H174" s="216">
        <v>4</v>
      </c>
      <c r="I174" s="81"/>
      <c r="J174" s="19">
        <f t="shared" si="11"/>
        <v>0</v>
      </c>
      <c r="K174" s="217" t="e">
        <f t="shared" si="12"/>
        <v>#DIV/0!</v>
      </c>
      <c r="L174" s="72"/>
    </row>
    <row r="175" spans="1:12" ht="12.75" outlineLevel="1">
      <c r="A175" s="83"/>
      <c r="B175" s="61">
        <v>4</v>
      </c>
      <c r="C175" s="12" t="s">
        <v>521</v>
      </c>
      <c r="D175" s="21" t="s">
        <v>114</v>
      </c>
      <c r="E175" s="221" t="s">
        <v>665</v>
      </c>
      <c r="F175" s="222" t="s">
        <v>426</v>
      </c>
      <c r="G175" s="223" t="s">
        <v>54</v>
      </c>
      <c r="H175" s="216">
        <v>4</v>
      </c>
      <c r="I175" s="85"/>
      <c r="J175" s="13">
        <f t="shared" si="11"/>
        <v>0</v>
      </c>
      <c r="K175" s="224" t="e">
        <f t="shared" si="12"/>
        <v>#DIV/0!</v>
      </c>
      <c r="L175" s="72"/>
    </row>
    <row r="176" spans="1:12" ht="12.75" outlineLevel="1">
      <c r="A176" s="83">
        <v>3</v>
      </c>
      <c r="B176" s="83">
        <v>3</v>
      </c>
      <c r="C176" s="12" t="s">
        <v>531</v>
      </c>
      <c r="D176" s="9" t="s">
        <v>113</v>
      </c>
      <c r="E176" s="221" t="s">
        <v>665</v>
      </c>
      <c r="F176" s="222" t="s">
        <v>421</v>
      </c>
      <c r="G176" s="223" t="s">
        <v>54</v>
      </c>
      <c r="H176" s="216">
        <v>4</v>
      </c>
      <c r="I176" s="85"/>
      <c r="J176" s="13">
        <f t="shared" si="11"/>
        <v>0</v>
      </c>
      <c r="K176" s="224" t="e">
        <f t="shared" si="12"/>
        <v>#DIV/0!</v>
      </c>
      <c r="L176" s="72"/>
    </row>
    <row r="177" spans="1:12" ht="12.75" outlineLevel="1">
      <c r="A177" s="90">
        <v>3</v>
      </c>
      <c r="B177" s="90">
        <v>2</v>
      </c>
      <c r="C177" s="12" t="s">
        <v>532</v>
      </c>
      <c r="D177" s="15" t="s">
        <v>112</v>
      </c>
      <c r="E177" s="236" t="s">
        <v>665</v>
      </c>
      <c r="F177" s="237" t="s">
        <v>422</v>
      </c>
      <c r="G177" s="238" t="s">
        <v>54</v>
      </c>
      <c r="H177" s="216">
        <v>4</v>
      </c>
      <c r="I177" s="92"/>
      <c r="J177" s="16">
        <f t="shared" si="11"/>
        <v>0</v>
      </c>
      <c r="K177" s="239" t="e">
        <f t="shared" si="12"/>
        <v>#DIV/0!</v>
      </c>
      <c r="L177" s="72"/>
    </row>
    <row r="178" spans="1:12" s="7" customFormat="1" ht="14.25" outlineLevel="1">
      <c r="A178" s="88"/>
      <c r="B178" s="61"/>
      <c r="C178" s="230" t="s">
        <v>163</v>
      </c>
      <c r="D178" s="231"/>
      <c r="E178" s="232"/>
      <c r="F178" s="233" t="s">
        <v>336</v>
      </c>
      <c r="G178" s="234">
        <f>ROUND(SUM(J179:J221),2)</f>
        <v>0</v>
      </c>
      <c r="H178" s="234"/>
      <c r="I178" s="88"/>
      <c r="J178" s="234"/>
      <c r="K178" s="235" t="e">
        <f>G178/$I$394</f>
        <v>#DIV/0!</v>
      </c>
      <c r="L178" s="72"/>
    </row>
    <row r="179" spans="1:12" ht="25.5" outlineLevel="1">
      <c r="A179" s="80">
        <v>28.44</v>
      </c>
      <c r="B179" s="61">
        <v>48</v>
      </c>
      <c r="C179" s="41" t="s">
        <v>164</v>
      </c>
      <c r="D179" s="212" t="s">
        <v>77</v>
      </c>
      <c r="E179" s="213" t="s">
        <v>665</v>
      </c>
      <c r="F179" s="214" t="s">
        <v>669</v>
      </c>
      <c r="G179" s="215" t="s">
        <v>19</v>
      </c>
      <c r="H179" s="216">
        <v>48</v>
      </c>
      <c r="I179" s="81"/>
      <c r="J179" s="19">
        <f aca="true" t="shared" si="13" ref="J179:J221">ROUND(_xlfn.IFERROR(H179*I179," - "),2)</f>
        <v>0</v>
      </c>
      <c r="K179" s="217" t="e">
        <f aca="true" t="shared" si="14" ref="K179:K221">J179/$I$394</f>
        <v>#DIV/0!</v>
      </c>
      <c r="L179" s="72"/>
    </row>
    <row r="180" spans="1:12" ht="25.5" outlineLevel="1">
      <c r="A180" s="80">
        <v>14.22</v>
      </c>
      <c r="B180" s="61">
        <v>2.475</v>
      </c>
      <c r="C180" s="38" t="s">
        <v>165</v>
      </c>
      <c r="D180" s="212" t="s">
        <v>51</v>
      </c>
      <c r="E180" s="213" t="s">
        <v>665</v>
      </c>
      <c r="F180" s="214" t="s">
        <v>368</v>
      </c>
      <c r="G180" s="215" t="s">
        <v>436</v>
      </c>
      <c r="H180" s="216">
        <v>4.84</v>
      </c>
      <c r="I180" s="81"/>
      <c r="J180" s="19">
        <f t="shared" si="13"/>
        <v>0</v>
      </c>
      <c r="K180" s="217" t="e">
        <f t="shared" si="14"/>
        <v>#DIV/0!</v>
      </c>
      <c r="L180" s="72"/>
    </row>
    <row r="181" spans="1:12" ht="25.5" outlineLevel="1">
      <c r="A181" s="80">
        <v>28.44</v>
      </c>
      <c r="B181" s="61">
        <v>4.5</v>
      </c>
      <c r="C181" s="38" t="s">
        <v>166</v>
      </c>
      <c r="D181" s="212">
        <v>10410</v>
      </c>
      <c r="E181" s="213" t="s">
        <v>479</v>
      </c>
      <c r="F181" s="214" t="s">
        <v>369</v>
      </c>
      <c r="G181" s="215" t="s">
        <v>370</v>
      </c>
      <c r="H181" s="216">
        <v>4.5</v>
      </c>
      <c r="I181" s="81"/>
      <c r="J181" s="19">
        <f t="shared" si="13"/>
        <v>0</v>
      </c>
      <c r="K181" s="217" t="e">
        <f t="shared" si="14"/>
        <v>#DIV/0!</v>
      </c>
      <c r="L181" s="72"/>
    </row>
    <row r="182" spans="1:12" ht="12.75" outlineLevel="1">
      <c r="A182" s="80">
        <v>4.62</v>
      </c>
      <c r="B182" s="61">
        <f>1.63+1.46</f>
        <v>3.09</v>
      </c>
      <c r="C182" s="38" t="s">
        <v>167</v>
      </c>
      <c r="D182" s="212" t="s">
        <v>74</v>
      </c>
      <c r="E182" s="213" t="s">
        <v>665</v>
      </c>
      <c r="F182" s="214" t="s">
        <v>670</v>
      </c>
      <c r="G182" s="215" t="s">
        <v>436</v>
      </c>
      <c r="H182" s="216">
        <v>3.1</v>
      </c>
      <c r="I182" s="81"/>
      <c r="J182" s="19">
        <f t="shared" si="13"/>
        <v>0</v>
      </c>
      <c r="K182" s="217" t="e">
        <f t="shared" si="14"/>
        <v>#DIV/0!</v>
      </c>
      <c r="L182" s="72"/>
    </row>
    <row r="183" spans="1:12" ht="12.75" outlineLevel="1">
      <c r="A183" s="80">
        <v>4.62</v>
      </c>
      <c r="B183" s="61">
        <v>0.23</v>
      </c>
      <c r="C183" s="38" t="s">
        <v>168</v>
      </c>
      <c r="D183" s="212" t="s">
        <v>75</v>
      </c>
      <c r="E183" s="213" t="s">
        <v>665</v>
      </c>
      <c r="F183" s="214" t="s">
        <v>371</v>
      </c>
      <c r="G183" s="215" t="s">
        <v>436</v>
      </c>
      <c r="H183" s="216">
        <v>5.4</v>
      </c>
      <c r="I183" s="81"/>
      <c r="J183" s="19">
        <f t="shared" si="13"/>
        <v>0</v>
      </c>
      <c r="K183" s="217" t="e">
        <f t="shared" si="14"/>
        <v>#DIV/0!</v>
      </c>
      <c r="L183" s="72"/>
    </row>
    <row r="184" spans="1:12" s="43" customFormat="1" ht="25.5" outlineLevel="1">
      <c r="A184" s="80">
        <v>218.69</v>
      </c>
      <c r="B184" s="93">
        <f>119.06+67+152.36</f>
        <v>338.42</v>
      </c>
      <c r="C184" s="38" t="s">
        <v>169</v>
      </c>
      <c r="D184" s="218" t="s">
        <v>69</v>
      </c>
      <c r="E184" s="213" t="s">
        <v>665</v>
      </c>
      <c r="F184" s="214" t="s">
        <v>372</v>
      </c>
      <c r="G184" s="215" t="s">
        <v>60</v>
      </c>
      <c r="H184" s="216">
        <v>213.91</v>
      </c>
      <c r="I184" s="82"/>
      <c r="J184" s="42">
        <f t="shared" si="13"/>
        <v>0</v>
      </c>
      <c r="K184" s="220" t="e">
        <f t="shared" si="14"/>
        <v>#DIV/0!</v>
      </c>
      <c r="L184" s="72"/>
    </row>
    <row r="185" spans="1:12" ht="25.5" outlineLevel="1">
      <c r="A185" s="80">
        <v>218.69</v>
      </c>
      <c r="B185" s="61">
        <f>17.63</f>
        <v>17.63</v>
      </c>
      <c r="C185" s="38" t="s">
        <v>170</v>
      </c>
      <c r="D185" s="212" t="s">
        <v>68</v>
      </c>
      <c r="E185" s="213" t="s">
        <v>665</v>
      </c>
      <c r="F185" s="214" t="s">
        <v>672</v>
      </c>
      <c r="G185" s="215" t="s">
        <v>370</v>
      </c>
      <c r="H185" s="216">
        <v>20.06</v>
      </c>
      <c r="I185" s="81"/>
      <c r="J185" s="19">
        <f t="shared" si="13"/>
        <v>0</v>
      </c>
      <c r="K185" s="217" t="e">
        <f t="shared" si="14"/>
        <v>#DIV/0!</v>
      </c>
      <c r="L185" s="72"/>
    </row>
    <row r="186" spans="1:12" ht="12.75" outlineLevel="1">
      <c r="A186" s="80">
        <v>218.69</v>
      </c>
      <c r="B186" s="61">
        <f>9+54.63</f>
        <v>63.63</v>
      </c>
      <c r="C186" s="38" t="s">
        <v>171</v>
      </c>
      <c r="D186" s="212" t="s">
        <v>500</v>
      </c>
      <c r="E186" s="213" t="s">
        <v>666</v>
      </c>
      <c r="F186" s="214" t="s">
        <v>673</v>
      </c>
      <c r="G186" s="215" t="s">
        <v>370</v>
      </c>
      <c r="H186" s="216">
        <v>103.36</v>
      </c>
      <c r="I186" s="81"/>
      <c r="J186" s="19">
        <f t="shared" si="13"/>
        <v>0</v>
      </c>
      <c r="K186" s="217" t="e">
        <f t="shared" si="14"/>
        <v>#DIV/0!</v>
      </c>
      <c r="L186" s="72"/>
    </row>
    <row r="187" spans="1:12" ht="12.75" outlineLevel="1">
      <c r="A187" s="80">
        <v>14.29</v>
      </c>
      <c r="B187" s="61">
        <f>0.81+0.84</f>
        <v>1.65</v>
      </c>
      <c r="C187" s="38" t="s">
        <v>265</v>
      </c>
      <c r="D187" s="212" t="s">
        <v>70</v>
      </c>
      <c r="E187" s="213" t="s">
        <v>665</v>
      </c>
      <c r="F187" s="214" t="s">
        <v>373</v>
      </c>
      <c r="G187" s="215" t="s">
        <v>436</v>
      </c>
      <c r="H187" s="216">
        <v>19.62</v>
      </c>
      <c r="I187" s="81"/>
      <c r="J187" s="19">
        <f t="shared" si="13"/>
        <v>0</v>
      </c>
      <c r="K187" s="217" t="e">
        <f t="shared" si="14"/>
        <v>#DIV/0!</v>
      </c>
      <c r="L187" s="72"/>
    </row>
    <row r="188" spans="1:12" ht="25.5" outlineLevel="1">
      <c r="A188" s="80">
        <v>14.29</v>
      </c>
      <c r="B188" s="61">
        <f>B187</f>
        <v>1.65</v>
      </c>
      <c r="C188" s="38" t="s">
        <v>266</v>
      </c>
      <c r="D188" s="212" t="s">
        <v>73</v>
      </c>
      <c r="E188" s="213" t="s">
        <v>665</v>
      </c>
      <c r="F188" s="214" t="s">
        <v>374</v>
      </c>
      <c r="G188" s="215" t="s">
        <v>436</v>
      </c>
      <c r="H188" s="216">
        <v>19.62</v>
      </c>
      <c r="I188" s="81"/>
      <c r="J188" s="19">
        <f t="shared" si="13"/>
        <v>0</v>
      </c>
      <c r="K188" s="217" t="e">
        <f t="shared" si="14"/>
        <v>#DIV/0!</v>
      </c>
      <c r="L188" s="72"/>
    </row>
    <row r="189" spans="1:12" s="43" customFormat="1" ht="25.5" outlineLevel="1">
      <c r="A189" s="80"/>
      <c r="B189" s="72"/>
      <c r="C189" s="38" t="s">
        <v>267</v>
      </c>
      <c r="D189" s="218" t="s">
        <v>97</v>
      </c>
      <c r="E189" s="213" t="s">
        <v>665</v>
      </c>
      <c r="F189" s="214" t="s">
        <v>674</v>
      </c>
      <c r="G189" s="215" t="s">
        <v>370</v>
      </c>
      <c r="H189" s="216">
        <v>8.82</v>
      </c>
      <c r="I189" s="82"/>
      <c r="J189" s="42">
        <f t="shared" si="13"/>
        <v>0</v>
      </c>
      <c r="K189" s="220" t="e">
        <f t="shared" si="14"/>
        <v>#DIV/0!</v>
      </c>
      <c r="L189" s="72"/>
    </row>
    <row r="190" spans="1:12" ht="12.75" outlineLevel="1">
      <c r="A190" s="80">
        <v>1.66</v>
      </c>
      <c r="B190" s="61">
        <f>1.44</f>
        <v>1.44</v>
      </c>
      <c r="C190" s="38" t="s">
        <v>268</v>
      </c>
      <c r="D190" s="212" t="s">
        <v>62</v>
      </c>
      <c r="E190" s="213" t="s">
        <v>665</v>
      </c>
      <c r="F190" s="214" t="s">
        <v>375</v>
      </c>
      <c r="G190" s="215" t="s">
        <v>436</v>
      </c>
      <c r="H190" s="216">
        <v>1.44</v>
      </c>
      <c r="I190" s="81"/>
      <c r="J190" s="19">
        <f t="shared" si="13"/>
        <v>0</v>
      </c>
      <c r="K190" s="217" t="e">
        <f t="shared" si="14"/>
        <v>#DIV/0!</v>
      </c>
      <c r="L190" s="72"/>
    </row>
    <row r="191" spans="1:12" ht="25.5" outlineLevel="1">
      <c r="A191" s="80">
        <v>4.62</v>
      </c>
      <c r="B191" s="61">
        <f>3.45+8.51+1.51</f>
        <v>13.47</v>
      </c>
      <c r="C191" s="38" t="s">
        <v>269</v>
      </c>
      <c r="D191" s="212" t="s">
        <v>64</v>
      </c>
      <c r="E191" s="213" t="s">
        <v>665</v>
      </c>
      <c r="F191" s="214" t="s">
        <v>430</v>
      </c>
      <c r="G191" s="215" t="s">
        <v>436</v>
      </c>
      <c r="H191" s="216">
        <v>4.41</v>
      </c>
      <c r="I191" s="81"/>
      <c r="J191" s="19">
        <f t="shared" si="13"/>
        <v>0</v>
      </c>
      <c r="K191" s="217" t="e">
        <f t="shared" si="14"/>
        <v>#DIV/0!</v>
      </c>
      <c r="L191" s="72"/>
    </row>
    <row r="192" spans="1:12" ht="25.5" outlineLevel="1">
      <c r="A192" s="80">
        <v>4.62</v>
      </c>
      <c r="B192" s="61">
        <f>3.06+1.35</f>
        <v>4.41</v>
      </c>
      <c r="C192" s="38" t="s">
        <v>270</v>
      </c>
      <c r="D192" s="212" t="s">
        <v>61</v>
      </c>
      <c r="E192" s="213" t="s">
        <v>665</v>
      </c>
      <c r="F192" s="214" t="s">
        <v>675</v>
      </c>
      <c r="G192" s="215" t="s">
        <v>436</v>
      </c>
      <c r="H192" s="216">
        <v>4.41</v>
      </c>
      <c r="I192" s="81"/>
      <c r="J192" s="19">
        <f t="shared" si="13"/>
        <v>0</v>
      </c>
      <c r="K192" s="217" t="e">
        <f t="shared" si="14"/>
        <v>#DIV/0!</v>
      </c>
      <c r="L192" s="72"/>
    </row>
    <row r="193" spans="1:12" ht="18" customHeight="1" outlineLevel="1">
      <c r="A193" s="80">
        <v>59.94</v>
      </c>
      <c r="B193" s="61">
        <f>B192</f>
        <v>4.41</v>
      </c>
      <c r="C193" s="38" t="s">
        <v>271</v>
      </c>
      <c r="D193" s="212" t="s">
        <v>157</v>
      </c>
      <c r="E193" s="213" t="s">
        <v>665</v>
      </c>
      <c r="F193" s="214" t="s">
        <v>431</v>
      </c>
      <c r="G193" s="215" t="s">
        <v>436</v>
      </c>
      <c r="H193" s="216">
        <v>4.41</v>
      </c>
      <c r="I193" s="81"/>
      <c r="J193" s="19">
        <f t="shared" si="13"/>
        <v>0</v>
      </c>
      <c r="K193" s="217" t="e">
        <f t="shared" si="14"/>
        <v>#DIV/0!</v>
      </c>
      <c r="L193" s="72"/>
    </row>
    <row r="194" spans="1:12" s="7" customFormat="1" ht="14.25" outlineLevel="1">
      <c r="A194" s="89"/>
      <c r="B194" s="61">
        <f>B196*10</f>
        <v>981.1</v>
      </c>
      <c r="C194" s="38" t="s">
        <v>272</v>
      </c>
      <c r="D194" s="9">
        <v>60130</v>
      </c>
      <c r="E194" s="221" t="s">
        <v>479</v>
      </c>
      <c r="F194" s="222" t="s">
        <v>378</v>
      </c>
      <c r="G194" s="223" t="s">
        <v>60</v>
      </c>
      <c r="H194" s="216">
        <v>960.4000000000001</v>
      </c>
      <c r="I194" s="85"/>
      <c r="J194" s="13">
        <f t="shared" si="13"/>
        <v>0</v>
      </c>
      <c r="K194" s="224" t="e">
        <f t="shared" si="14"/>
        <v>#DIV/0!</v>
      </c>
      <c r="L194" s="72"/>
    </row>
    <row r="195" spans="1:12" s="7" customFormat="1" ht="14.25" outlineLevel="1">
      <c r="A195" s="85"/>
      <c r="B195" s="61">
        <f>B196*10</f>
        <v>981.1</v>
      </c>
      <c r="C195" s="38" t="s">
        <v>273</v>
      </c>
      <c r="D195" s="9">
        <v>60131</v>
      </c>
      <c r="E195" s="221" t="s">
        <v>479</v>
      </c>
      <c r="F195" s="222" t="s">
        <v>379</v>
      </c>
      <c r="G195" s="223" t="s">
        <v>60</v>
      </c>
      <c r="H195" s="216">
        <v>960.4000000000001</v>
      </c>
      <c r="I195" s="85"/>
      <c r="J195" s="13">
        <f t="shared" si="13"/>
        <v>0</v>
      </c>
      <c r="K195" s="224" t="e">
        <f t="shared" si="14"/>
        <v>#DIV/0!</v>
      </c>
      <c r="L195" s="72"/>
    </row>
    <row r="196" spans="1:12" s="7" customFormat="1" ht="38.25" outlineLevel="1">
      <c r="A196" s="89"/>
      <c r="B196" s="61">
        <v>98.11</v>
      </c>
      <c r="C196" s="38" t="s">
        <v>274</v>
      </c>
      <c r="D196" s="9" t="s">
        <v>186</v>
      </c>
      <c r="E196" s="221" t="s">
        <v>666</v>
      </c>
      <c r="F196" s="222" t="s">
        <v>380</v>
      </c>
      <c r="G196" s="223" t="s">
        <v>370</v>
      </c>
      <c r="H196" s="216">
        <v>96.04</v>
      </c>
      <c r="I196" s="85"/>
      <c r="J196" s="13">
        <f t="shared" si="13"/>
        <v>0</v>
      </c>
      <c r="K196" s="224" t="e">
        <f t="shared" si="14"/>
        <v>#DIV/0!</v>
      </c>
      <c r="L196" s="72"/>
    </row>
    <row r="197" spans="1:12" s="7" customFormat="1" ht="25.5" outlineLevel="1">
      <c r="A197" s="83"/>
      <c r="B197" s="61">
        <v>22.96</v>
      </c>
      <c r="C197" s="38" t="s">
        <v>275</v>
      </c>
      <c r="D197" s="212" t="s">
        <v>480</v>
      </c>
      <c r="E197" s="221" t="s">
        <v>666</v>
      </c>
      <c r="F197" s="222" t="s">
        <v>678</v>
      </c>
      <c r="G197" s="223" t="s">
        <v>19</v>
      </c>
      <c r="H197" s="216">
        <v>31.03</v>
      </c>
      <c r="I197" s="85"/>
      <c r="J197" s="13">
        <f t="shared" si="13"/>
        <v>0</v>
      </c>
      <c r="K197" s="224" t="e">
        <f t="shared" si="14"/>
        <v>#DIV/0!</v>
      </c>
      <c r="L197" s="72"/>
    </row>
    <row r="198" spans="1:12" s="7" customFormat="1" ht="25.5" outlineLevel="1">
      <c r="A198" s="83"/>
      <c r="B198" s="61">
        <f>0.19*4*2.9*8</f>
        <v>17.631999999999998</v>
      </c>
      <c r="C198" s="38" t="s">
        <v>276</v>
      </c>
      <c r="D198" s="9" t="s">
        <v>481</v>
      </c>
      <c r="E198" s="221" t="s">
        <v>666</v>
      </c>
      <c r="F198" s="222" t="s">
        <v>679</v>
      </c>
      <c r="G198" s="223" t="s">
        <v>19</v>
      </c>
      <c r="H198" s="216">
        <v>17.31</v>
      </c>
      <c r="I198" s="85"/>
      <c r="J198" s="13">
        <f t="shared" si="13"/>
        <v>0</v>
      </c>
      <c r="K198" s="224" t="e">
        <f t="shared" si="14"/>
        <v>#DIV/0!</v>
      </c>
      <c r="L198" s="72"/>
    </row>
    <row r="199" spans="1:12" s="7" customFormat="1" ht="25.5" customHeight="1" outlineLevel="1">
      <c r="A199" s="83"/>
      <c r="B199" s="61">
        <f>8*2.7*18.6</f>
        <v>401.76000000000005</v>
      </c>
      <c r="C199" s="38" t="s">
        <v>277</v>
      </c>
      <c r="D199" s="31">
        <v>36002</v>
      </c>
      <c r="E199" s="221" t="s">
        <v>479</v>
      </c>
      <c r="F199" s="222" t="s">
        <v>427</v>
      </c>
      <c r="G199" s="223" t="s">
        <v>60</v>
      </c>
      <c r="H199" s="216">
        <v>401.76</v>
      </c>
      <c r="I199" s="85"/>
      <c r="J199" s="13">
        <f t="shared" si="13"/>
        <v>0</v>
      </c>
      <c r="K199" s="224" t="e">
        <f t="shared" si="14"/>
        <v>#DIV/0!</v>
      </c>
      <c r="L199" s="72"/>
    </row>
    <row r="200" spans="1:12" s="7" customFormat="1" ht="14.25" outlineLevel="1">
      <c r="A200" s="83"/>
      <c r="B200" s="61">
        <v>22.96</v>
      </c>
      <c r="C200" s="38" t="s">
        <v>469</v>
      </c>
      <c r="D200" s="212" t="s">
        <v>161</v>
      </c>
      <c r="E200" s="221" t="s">
        <v>665</v>
      </c>
      <c r="F200" s="222" t="s">
        <v>409</v>
      </c>
      <c r="G200" s="223" t="s">
        <v>370</v>
      </c>
      <c r="H200" s="216">
        <v>22.96</v>
      </c>
      <c r="I200" s="85"/>
      <c r="J200" s="13">
        <f t="shared" si="13"/>
        <v>0</v>
      </c>
      <c r="K200" s="224" t="e">
        <f t="shared" si="14"/>
        <v>#DIV/0!</v>
      </c>
      <c r="L200" s="72"/>
    </row>
    <row r="201" spans="1:12" s="7" customFormat="1" ht="14.25" outlineLevel="1">
      <c r="A201" s="83"/>
      <c r="B201" s="83">
        <f aca="true" t="shared" si="15" ref="B201:B215">8*3+2.7*3</f>
        <v>32.1</v>
      </c>
      <c r="C201" s="38" t="s">
        <v>470</v>
      </c>
      <c r="D201" s="9" t="s">
        <v>501</v>
      </c>
      <c r="E201" s="221" t="s">
        <v>666</v>
      </c>
      <c r="F201" s="222" t="s">
        <v>697</v>
      </c>
      <c r="G201" s="223" t="s">
        <v>23</v>
      </c>
      <c r="H201" s="216">
        <v>1</v>
      </c>
      <c r="I201" s="85"/>
      <c r="J201" s="13">
        <f t="shared" si="13"/>
        <v>0</v>
      </c>
      <c r="K201" s="224" t="e">
        <f t="shared" si="14"/>
        <v>#DIV/0!</v>
      </c>
      <c r="L201" s="72"/>
    </row>
    <row r="202" spans="1:12" s="7" customFormat="1" ht="25.5" outlineLevel="1">
      <c r="A202" s="89"/>
      <c r="B202" s="61">
        <f>B195*10</f>
        <v>9811</v>
      </c>
      <c r="C202" s="38" t="s">
        <v>471</v>
      </c>
      <c r="D202" s="9" t="s">
        <v>78</v>
      </c>
      <c r="E202" s="221" t="s">
        <v>665</v>
      </c>
      <c r="F202" s="222" t="s">
        <v>376</v>
      </c>
      <c r="G202" s="223" t="s">
        <v>370</v>
      </c>
      <c r="H202" s="216">
        <v>37.21</v>
      </c>
      <c r="I202" s="85"/>
      <c r="J202" s="13">
        <f t="shared" si="13"/>
        <v>0</v>
      </c>
      <c r="K202" s="224" t="e">
        <f t="shared" si="14"/>
        <v>#DIV/0!</v>
      </c>
      <c r="L202" s="72"/>
    </row>
    <row r="203" spans="1:12" s="7" customFormat="1" ht="14.25" outlineLevel="1">
      <c r="A203" s="89"/>
      <c r="B203" s="61">
        <f>B195*10</f>
        <v>9811</v>
      </c>
      <c r="C203" s="38" t="s">
        <v>472</v>
      </c>
      <c r="D203" s="9" t="s">
        <v>72</v>
      </c>
      <c r="E203" s="221" t="s">
        <v>665</v>
      </c>
      <c r="F203" s="222" t="s">
        <v>377</v>
      </c>
      <c r="G203" s="223" t="s">
        <v>436</v>
      </c>
      <c r="H203" s="216">
        <v>0.77</v>
      </c>
      <c r="I203" s="85"/>
      <c r="J203" s="13">
        <f t="shared" si="13"/>
        <v>0</v>
      </c>
      <c r="K203" s="224" t="e">
        <f t="shared" si="14"/>
        <v>#DIV/0!</v>
      </c>
      <c r="L203" s="72"/>
    </row>
    <row r="204" spans="1:12" s="7" customFormat="1" ht="14.25" outlineLevel="1">
      <c r="A204" s="83"/>
      <c r="B204" s="61">
        <f>0.19*4*2.9*8</f>
        <v>17.631999999999998</v>
      </c>
      <c r="C204" s="38" t="s">
        <v>533</v>
      </c>
      <c r="D204" s="9" t="s">
        <v>80</v>
      </c>
      <c r="E204" s="221" t="s">
        <v>665</v>
      </c>
      <c r="F204" s="222" t="s">
        <v>81</v>
      </c>
      <c r="G204" s="223" t="s">
        <v>370</v>
      </c>
      <c r="H204" s="216">
        <v>62.97</v>
      </c>
      <c r="I204" s="85"/>
      <c r="J204" s="13">
        <f t="shared" si="13"/>
        <v>0</v>
      </c>
      <c r="K204" s="224" t="e">
        <f t="shared" si="14"/>
        <v>#DIV/0!</v>
      </c>
      <c r="L204" s="72"/>
    </row>
    <row r="205" spans="1:12" ht="12.75" outlineLevel="1">
      <c r="A205" s="83"/>
      <c r="B205" s="61">
        <f>0.19*4*2.9*8</f>
        <v>17.631999999999998</v>
      </c>
      <c r="C205" s="38" t="s">
        <v>534</v>
      </c>
      <c r="D205" s="9" t="s">
        <v>82</v>
      </c>
      <c r="E205" s="221" t="s">
        <v>665</v>
      </c>
      <c r="F205" s="222" t="s">
        <v>381</v>
      </c>
      <c r="G205" s="223" t="s">
        <v>370</v>
      </c>
      <c r="H205" s="216">
        <v>62.97</v>
      </c>
      <c r="I205" s="85"/>
      <c r="J205" s="13">
        <f t="shared" si="13"/>
        <v>0</v>
      </c>
      <c r="K205" s="224" t="e">
        <f t="shared" si="14"/>
        <v>#DIV/0!</v>
      </c>
      <c r="L205" s="72"/>
    </row>
    <row r="206" spans="1:12" ht="12.75" outlineLevel="1">
      <c r="A206" s="80"/>
      <c r="B206" s="61">
        <f>0.19*4*2.9*8</f>
        <v>17.631999999999998</v>
      </c>
      <c r="C206" s="38" t="s">
        <v>535</v>
      </c>
      <c r="D206" s="212" t="s">
        <v>83</v>
      </c>
      <c r="E206" s="213" t="s">
        <v>665</v>
      </c>
      <c r="F206" s="214" t="s">
        <v>84</v>
      </c>
      <c r="G206" s="215" t="s">
        <v>370</v>
      </c>
      <c r="H206" s="216">
        <v>53.61</v>
      </c>
      <c r="I206" s="81"/>
      <c r="J206" s="19">
        <f t="shared" si="13"/>
        <v>0</v>
      </c>
      <c r="K206" s="217" t="e">
        <f t="shared" si="14"/>
        <v>#DIV/0!</v>
      </c>
      <c r="L206" s="72"/>
    </row>
    <row r="207" spans="1:12" s="7" customFormat="1" ht="14.25" outlineLevel="1">
      <c r="A207" s="89"/>
      <c r="B207" s="61">
        <f>0.19*4*2.9*8</f>
        <v>17.631999999999998</v>
      </c>
      <c r="C207" s="38" t="s">
        <v>536</v>
      </c>
      <c r="D207" s="9" t="s">
        <v>98</v>
      </c>
      <c r="E207" s="221" t="s">
        <v>665</v>
      </c>
      <c r="F207" s="222" t="s">
        <v>411</v>
      </c>
      <c r="G207" s="223" t="s">
        <v>370</v>
      </c>
      <c r="H207" s="216">
        <v>53.61</v>
      </c>
      <c r="I207" s="85"/>
      <c r="J207" s="13">
        <f t="shared" si="13"/>
        <v>0</v>
      </c>
      <c r="K207" s="224" t="e">
        <f t="shared" si="14"/>
        <v>#DIV/0!</v>
      </c>
      <c r="L207" s="72"/>
    </row>
    <row r="208" spans="1:12" s="7" customFormat="1" ht="38.25" outlineLevel="1">
      <c r="A208" s="83"/>
      <c r="B208" s="83">
        <f t="shared" si="15"/>
        <v>32.1</v>
      </c>
      <c r="C208" s="38" t="s">
        <v>537</v>
      </c>
      <c r="D208" s="9" t="s">
        <v>160</v>
      </c>
      <c r="E208" s="221" t="s">
        <v>665</v>
      </c>
      <c r="F208" s="222" t="s">
        <v>382</v>
      </c>
      <c r="G208" s="223" t="s">
        <v>370</v>
      </c>
      <c r="H208" s="216">
        <v>9.36</v>
      </c>
      <c r="I208" s="85"/>
      <c r="J208" s="13">
        <f t="shared" si="13"/>
        <v>0</v>
      </c>
      <c r="K208" s="224" t="e">
        <f t="shared" si="14"/>
        <v>#DIV/0!</v>
      </c>
      <c r="L208" s="72"/>
    </row>
    <row r="209" spans="1:12" s="7" customFormat="1" ht="25.5" outlineLevel="1">
      <c r="A209" s="83"/>
      <c r="B209" s="83">
        <f t="shared" si="15"/>
        <v>32.1</v>
      </c>
      <c r="C209" s="38" t="s">
        <v>538</v>
      </c>
      <c r="D209" s="9" t="s">
        <v>502</v>
      </c>
      <c r="E209" s="221" t="s">
        <v>666</v>
      </c>
      <c r="F209" s="222" t="s">
        <v>698</v>
      </c>
      <c r="G209" s="223" t="s">
        <v>23</v>
      </c>
      <c r="H209" s="216">
        <v>2</v>
      </c>
      <c r="I209" s="85"/>
      <c r="J209" s="13">
        <f t="shared" si="13"/>
        <v>0</v>
      </c>
      <c r="K209" s="224" t="e">
        <f t="shared" si="14"/>
        <v>#DIV/0!</v>
      </c>
      <c r="L209" s="72"/>
    </row>
    <row r="210" spans="1:12" s="7" customFormat="1" ht="14.25" outlineLevel="1">
      <c r="A210" s="83"/>
      <c r="B210" s="83">
        <f t="shared" si="15"/>
        <v>32.1</v>
      </c>
      <c r="C210" s="38" t="s">
        <v>539</v>
      </c>
      <c r="D210" s="31" t="s">
        <v>148</v>
      </c>
      <c r="E210" s="221" t="s">
        <v>665</v>
      </c>
      <c r="F210" s="222" t="s">
        <v>699</v>
      </c>
      <c r="G210" s="223" t="s">
        <v>23</v>
      </c>
      <c r="H210" s="216">
        <v>1</v>
      </c>
      <c r="I210" s="85"/>
      <c r="J210" s="13">
        <f t="shared" si="13"/>
        <v>0</v>
      </c>
      <c r="K210" s="224" t="e">
        <f t="shared" si="14"/>
        <v>#DIV/0!</v>
      </c>
      <c r="L210" s="72"/>
    </row>
    <row r="211" spans="1:12" s="7" customFormat="1" ht="25.5" outlineLevel="1">
      <c r="A211" s="83"/>
      <c r="B211" s="83">
        <f t="shared" si="15"/>
        <v>32.1</v>
      </c>
      <c r="C211" s="38" t="s">
        <v>540</v>
      </c>
      <c r="D211" s="9" t="s">
        <v>127</v>
      </c>
      <c r="E211" s="221" t="s">
        <v>665</v>
      </c>
      <c r="F211" s="222" t="s">
        <v>388</v>
      </c>
      <c r="G211" s="223" t="s">
        <v>19</v>
      </c>
      <c r="H211" s="216">
        <v>12</v>
      </c>
      <c r="I211" s="85"/>
      <c r="J211" s="13">
        <f t="shared" si="13"/>
        <v>0</v>
      </c>
      <c r="K211" s="224" t="e">
        <f t="shared" si="14"/>
        <v>#DIV/0!</v>
      </c>
      <c r="L211" s="72"/>
    </row>
    <row r="212" spans="1:12" s="7" customFormat="1" ht="25.5" outlineLevel="1">
      <c r="A212" s="83"/>
      <c r="B212" s="83">
        <f t="shared" si="15"/>
        <v>32.1</v>
      </c>
      <c r="C212" s="38" t="s">
        <v>541</v>
      </c>
      <c r="D212" s="9" t="s">
        <v>128</v>
      </c>
      <c r="E212" s="221" t="s">
        <v>665</v>
      </c>
      <c r="F212" s="222" t="s">
        <v>389</v>
      </c>
      <c r="G212" s="223" t="s">
        <v>19</v>
      </c>
      <c r="H212" s="216">
        <v>8</v>
      </c>
      <c r="I212" s="85"/>
      <c r="J212" s="13">
        <f t="shared" si="13"/>
        <v>0</v>
      </c>
      <c r="K212" s="224" t="e">
        <f t="shared" si="14"/>
        <v>#DIV/0!</v>
      </c>
      <c r="L212" s="72"/>
    </row>
    <row r="213" spans="1:12" s="7" customFormat="1" ht="25.5" outlineLevel="1">
      <c r="A213" s="83"/>
      <c r="B213" s="83">
        <f t="shared" si="15"/>
        <v>32.1</v>
      </c>
      <c r="C213" s="38" t="s">
        <v>542</v>
      </c>
      <c r="D213" s="9" t="s">
        <v>131</v>
      </c>
      <c r="E213" s="221" t="s">
        <v>665</v>
      </c>
      <c r="F213" s="222" t="s">
        <v>391</v>
      </c>
      <c r="G213" s="223" t="s">
        <v>19</v>
      </c>
      <c r="H213" s="216">
        <v>5</v>
      </c>
      <c r="I213" s="85"/>
      <c r="J213" s="13">
        <f t="shared" si="13"/>
        <v>0</v>
      </c>
      <c r="K213" s="224" t="e">
        <f t="shared" si="14"/>
        <v>#DIV/0!</v>
      </c>
      <c r="L213" s="72"/>
    </row>
    <row r="214" spans="1:12" s="7" customFormat="1" ht="25.5" outlineLevel="1">
      <c r="A214" s="83"/>
      <c r="B214" s="83">
        <f t="shared" si="15"/>
        <v>32.1</v>
      </c>
      <c r="C214" s="38" t="s">
        <v>543</v>
      </c>
      <c r="D214" s="9" t="s">
        <v>144</v>
      </c>
      <c r="E214" s="221" t="s">
        <v>665</v>
      </c>
      <c r="F214" s="222" t="s">
        <v>394</v>
      </c>
      <c r="G214" s="223" t="s">
        <v>23</v>
      </c>
      <c r="H214" s="216">
        <v>2</v>
      </c>
      <c r="I214" s="85"/>
      <c r="J214" s="13">
        <f t="shared" si="13"/>
        <v>0</v>
      </c>
      <c r="K214" s="224" t="e">
        <f t="shared" si="14"/>
        <v>#DIV/0!</v>
      </c>
      <c r="L214" s="72"/>
    </row>
    <row r="215" spans="1:12" s="7" customFormat="1" ht="14.25" outlineLevel="1">
      <c r="A215" s="83"/>
      <c r="B215" s="83">
        <f t="shared" si="15"/>
        <v>32.1</v>
      </c>
      <c r="C215" s="38" t="s">
        <v>544</v>
      </c>
      <c r="D215" s="9" t="s">
        <v>107</v>
      </c>
      <c r="E215" s="221" t="s">
        <v>665</v>
      </c>
      <c r="F215" s="222" t="s">
        <v>688</v>
      </c>
      <c r="G215" s="223" t="s">
        <v>19</v>
      </c>
      <c r="H215" s="216">
        <v>32.1</v>
      </c>
      <c r="I215" s="85"/>
      <c r="J215" s="13">
        <f t="shared" si="13"/>
        <v>0</v>
      </c>
      <c r="K215" s="224" t="e">
        <f t="shared" si="14"/>
        <v>#DIV/0!</v>
      </c>
      <c r="L215" s="72"/>
    </row>
    <row r="216" spans="1:12" ht="25.5" outlineLevel="1">
      <c r="A216" s="83"/>
      <c r="B216" s="61">
        <v>4</v>
      </c>
      <c r="C216" s="38" t="s">
        <v>545</v>
      </c>
      <c r="D216" s="9" t="s">
        <v>108</v>
      </c>
      <c r="E216" s="221" t="s">
        <v>665</v>
      </c>
      <c r="F216" s="222" t="s">
        <v>689</v>
      </c>
      <c r="G216" s="223" t="s">
        <v>19</v>
      </c>
      <c r="H216" s="216">
        <v>10</v>
      </c>
      <c r="I216" s="85"/>
      <c r="J216" s="13">
        <f t="shared" si="13"/>
        <v>0</v>
      </c>
      <c r="K216" s="224" t="e">
        <f t="shared" si="14"/>
        <v>#DIV/0!</v>
      </c>
      <c r="L216" s="72"/>
    </row>
    <row r="217" spans="1:12" s="7" customFormat="1" ht="25.5" outlineLevel="1">
      <c r="A217" s="83"/>
      <c r="B217" s="83">
        <f>8*3+2.7*3</f>
        <v>32.1</v>
      </c>
      <c r="C217" s="38" t="s">
        <v>546</v>
      </c>
      <c r="D217" s="9" t="s">
        <v>109</v>
      </c>
      <c r="E217" s="221" t="s">
        <v>665</v>
      </c>
      <c r="F217" s="222" t="s">
        <v>416</v>
      </c>
      <c r="G217" s="223" t="s">
        <v>19</v>
      </c>
      <c r="H217" s="216">
        <v>65</v>
      </c>
      <c r="I217" s="85"/>
      <c r="J217" s="13">
        <f t="shared" si="13"/>
        <v>0</v>
      </c>
      <c r="K217" s="224" t="e">
        <f t="shared" si="14"/>
        <v>#DIV/0!</v>
      </c>
      <c r="L217" s="72"/>
    </row>
    <row r="218" spans="1:12" ht="25.5" outlineLevel="1">
      <c r="A218" s="83"/>
      <c r="B218" s="61">
        <v>4</v>
      </c>
      <c r="C218" s="38" t="s">
        <v>547</v>
      </c>
      <c r="D218" s="9" t="s">
        <v>121</v>
      </c>
      <c r="E218" s="221" t="s">
        <v>665</v>
      </c>
      <c r="F218" s="222" t="s">
        <v>418</v>
      </c>
      <c r="G218" s="223" t="s">
        <v>23</v>
      </c>
      <c r="H218" s="216">
        <v>6</v>
      </c>
      <c r="I218" s="85"/>
      <c r="J218" s="13">
        <f t="shared" si="13"/>
        <v>0</v>
      </c>
      <c r="K218" s="224" t="e">
        <f t="shared" si="14"/>
        <v>#DIV/0!</v>
      </c>
      <c r="L218" s="72"/>
    </row>
    <row r="219" spans="1:12" ht="25.5" outlineLevel="1">
      <c r="A219" s="83"/>
      <c r="B219" s="61">
        <v>4</v>
      </c>
      <c r="C219" s="38" t="s">
        <v>548</v>
      </c>
      <c r="D219" s="9" t="s">
        <v>117</v>
      </c>
      <c r="E219" s="221" t="s">
        <v>665</v>
      </c>
      <c r="F219" s="222" t="s">
        <v>690</v>
      </c>
      <c r="G219" s="223" t="s">
        <v>23</v>
      </c>
      <c r="H219" s="216">
        <v>12</v>
      </c>
      <c r="I219" s="85"/>
      <c r="J219" s="13">
        <f t="shared" si="13"/>
        <v>0</v>
      </c>
      <c r="K219" s="224" t="e">
        <f t="shared" si="14"/>
        <v>#DIV/0!</v>
      </c>
      <c r="L219" s="72"/>
    </row>
    <row r="220" spans="1:12" ht="12.75" outlineLevel="1">
      <c r="A220" s="83"/>
      <c r="B220" s="61">
        <v>1</v>
      </c>
      <c r="C220" s="38" t="s">
        <v>549</v>
      </c>
      <c r="D220" s="21" t="s">
        <v>112</v>
      </c>
      <c r="E220" s="221" t="s">
        <v>665</v>
      </c>
      <c r="F220" s="222" t="s">
        <v>422</v>
      </c>
      <c r="G220" s="223" t="s">
        <v>54</v>
      </c>
      <c r="H220" s="216">
        <v>2</v>
      </c>
      <c r="I220" s="85"/>
      <c r="J220" s="13">
        <f t="shared" si="13"/>
        <v>0</v>
      </c>
      <c r="K220" s="224" t="e">
        <f t="shared" si="14"/>
        <v>#DIV/0!</v>
      </c>
      <c r="L220" s="72"/>
    </row>
    <row r="221" spans="1:12" ht="12.75" outlineLevel="1">
      <c r="A221" s="83"/>
      <c r="B221" s="61">
        <v>1</v>
      </c>
      <c r="C221" s="38" t="s">
        <v>550</v>
      </c>
      <c r="D221" s="21" t="s">
        <v>114</v>
      </c>
      <c r="E221" s="221" t="s">
        <v>665</v>
      </c>
      <c r="F221" s="222" t="s">
        <v>426</v>
      </c>
      <c r="G221" s="223" t="s">
        <v>54</v>
      </c>
      <c r="H221" s="216">
        <v>2</v>
      </c>
      <c r="I221" s="85"/>
      <c r="J221" s="13">
        <f t="shared" si="13"/>
        <v>0</v>
      </c>
      <c r="K221" s="224" t="e">
        <f t="shared" si="14"/>
        <v>#DIV/0!</v>
      </c>
      <c r="L221" s="72"/>
    </row>
    <row r="222" spans="1:12" ht="12.75" outlineLevel="1">
      <c r="A222" s="88"/>
      <c r="C222" s="230" t="s">
        <v>278</v>
      </c>
      <c r="D222" s="231"/>
      <c r="E222" s="232"/>
      <c r="F222" s="233" t="s">
        <v>264</v>
      </c>
      <c r="G222" s="234">
        <f>ROUND(SUM(J223:J254),2)</f>
        <v>0</v>
      </c>
      <c r="H222" s="234"/>
      <c r="I222" s="88"/>
      <c r="J222" s="234"/>
      <c r="K222" s="235" t="e">
        <f>G222/$I$394</f>
        <v>#DIV/0!</v>
      </c>
      <c r="L222" s="72"/>
    </row>
    <row r="223" spans="1:12" ht="12.75" customHeight="1" outlineLevel="1">
      <c r="A223" s="89">
        <v>4986</v>
      </c>
      <c r="C223" s="12" t="s">
        <v>279</v>
      </c>
      <c r="D223" s="240" t="s">
        <v>59</v>
      </c>
      <c r="E223" s="221" t="s">
        <v>665</v>
      </c>
      <c r="F223" s="222" t="s">
        <v>428</v>
      </c>
      <c r="G223" s="223" t="s">
        <v>370</v>
      </c>
      <c r="H223" s="241">
        <v>4284.33</v>
      </c>
      <c r="I223" s="85"/>
      <c r="J223" s="13">
        <f aca="true" t="shared" si="16" ref="J223:J254">ROUND(_xlfn.IFERROR(H223*I223," - "),2)</f>
        <v>0</v>
      </c>
      <c r="K223" s="224" t="e">
        <f aca="true" t="shared" si="17" ref="K223:K254">J223/$I$394</f>
        <v>#DIV/0!</v>
      </c>
      <c r="L223" s="72"/>
    </row>
    <row r="224" spans="1:12" ht="25.5" outlineLevel="1">
      <c r="A224" s="89">
        <v>52.92</v>
      </c>
      <c r="B224" s="61">
        <f>ROUNDUP(((1140+91+100+95)*0.5*0.5),2)</f>
        <v>356.5</v>
      </c>
      <c r="C224" s="12" t="s">
        <v>280</v>
      </c>
      <c r="D224" s="240" t="s">
        <v>63</v>
      </c>
      <c r="E224" s="221" t="s">
        <v>665</v>
      </c>
      <c r="F224" s="222" t="s">
        <v>429</v>
      </c>
      <c r="G224" s="223" t="s">
        <v>436</v>
      </c>
      <c r="H224" s="241">
        <v>356.5</v>
      </c>
      <c r="I224" s="85"/>
      <c r="J224" s="13">
        <f t="shared" si="16"/>
        <v>0</v>
      </c>
      <c r="K224" s="224" t="e">
        <f t="shared" si="17"/>
        <v>#DIV/0!</v>
      </c>
      <c r="L224" s="72"/>
    </row>
    <row r="225" spans="1:12" ht="12.75" outlineLevel="1">
      <c r="A225" s="89">
        <v>2700</v>
      </c>
      <c r="B225" s="61">
        <f>ROUNDUP((63.25*18),2)</f>
        <v>1138.5</v>
      </c>
      <c r="C225" s="12" t="s">
        <v>281</v>
      </c>
      <c r="D225" s="240" t="s">
        <v>64</v>
      </c>
      <c r="E225" s="221" t="s">
        <v>665</v>
      </c>
      <c r="F225" s="222" t="s">
        <v>430</v>
      </c>
      <c r="G225" s="223" t="s">
        <v>436</v>
      </c>
      <c r="H225" s="241">
        <v>356.5</v>
      </c>
      <c r="I225" s="85"/>
      <c r="J225" s="13">
        <f t="shared" si="16"/>
        <v>0</v>
      </c>
      <c r="K225" s="224" t="e">
        <f t="shared" si="17"/>
        <v>#DIV/0!</v>
      </c>
      <c r="L225" s="72"/>
    </row>
    <row r="226" spans="1:12" ht="12.75" outlineLevel="1">
      <c r="A226" s="89">
        <v>180</v>
      </c>
      <c r="C226" s="12" t="s">
        <v>282</v>
      </c>
      <c r="D226" s="240">
        <v>10310</v>
      </c>
      <c r="E226" s="221" t="s">
        <v>479</v>
      </c>
      <c r="F226" s="222" t="s">
        <v>700</v>
      </c>
      <c r="G226" s="223" t="s">
        <v>701</v>
      </c>
      <c r="H226" s="241">
        <v>7130</v>
      </c>
      <c r="I226" s="85"/>
      <c r="J226" s="13">
        <f t="shared" si="16"/>
        <v>0</v>
      </c>
      <c r="K226" s="224" t="e">
        <f t="shared" si="17"/>
        <v>#DIV/0!</v>
      </c>
      <c r="L226" s="72"/>
    </row>
    <row r="227" spans="1:12" ht="25.5" outlineLevel="1">
      <c r="A227" s="89">
        <v>90</v>
      </c>
      <c r="C227" s="12" t="s">
        <v>283</v>
      </c>
      <c r="D227" s="240" t="s">
        <v>157</v>
      </c>
      <c r="E227" s="221" t="s">
        <v>665</v>
      </c>
      <c r="F227" s="222" t="s">
        <v>431</v>
      </c>
      <c r="G227" s="223" t="s">
        <v>436</v>
      </c>
      <c r="H227" s="241">
        <v>356.5</v>
      </c>
      <c r="I227" s="85"/>
      <c r="J227" s="13">
        <f t="shared" si="16"/>
        <v>0</v>
      </c>
      <c r="K227" s="224" t="e">
        <f t="shared" si="17"/>
        <v>#DIV/0!</v>
      </c>
      <c r="L227" s="72"/>
    </row>
    <row r="228" spans="1:12" ht="12.75" outlineLevel="1">
      <c r="A228" s="89">
        <v>4986</v>
      </c>
      <c r="C228" s="12" t="s">
        <v>284</v>
      </c>
      <c r="D228" s="240">
        <v>10410</v>
      </c>
      <c r="E228" s="221" t="s">
        <v>479</v>
      </c>
      <c r="F228" s="222" t="s">
        <v>369</v>
      </c>
      <c r="G228" s="223" t="s">
        <v>370</v>
      </c>
      <c r="H228" s="241">
        <v>4284.33</v>
      </c>
      <c r="I228" s="85"/>
      <c r="J228" s="13">
        <f t="shared" si="16"/>
        <v>0</v>
      </c>
      <c r="K228" s="224" t="e">
        <f t="shared" si="17"/>
        <v>#DIV/0!</v>
      </c>
      <c r="L228" s="72"/>
    </row>
    <row r="229" spans="1:12" ht="12.75" outlineLevel="1">
      <c r="A229" s="89">
        <v>52.92</v>
      </c>
      <c r="C229" s="12" t="s">
        <v>285</v>
      </c>
      <c r="D229" s="242" t="s">
        <v>75</v>
      </c>
      <c r="E229" s="221" t="s">
        <v>665</v>
      </c>
      <c r="F229" s="222" t="s">
        <v>371</v>
      </c>
      <c r="G229" s="223" t="s">
        <v>436</v>
      </c>
      <c r="H229" s="241">
        <v>222.95000000000002</v>
      </c>
      <c r="I229" s="85"/>
      <c r="J229" s="13">
        <f t="shared" si="16"/>
        <v>0</v>
      </c>
      <c r="K229" s="224" t="e">
        <f t="shared" si="17"/>
        <v>#DIV/0!</v>
      </c>
      <c r="L229" s="72"/>
    </row>
    <row r="230" spans="1:12" ht="25.5" outlineLevel="1">
      <c r="A230" s="89">
        <v>2700</v>
      </c>
      <c r="B230" s="61">
        <f>ROUNDUP((63.25*18),2)</f>
        <v>1138.5</v>
      </c>
      <c r="C230" s="12" t="s">
        <v>286</v>
      </c>
      <c r="D230" s="240" t="s">
        <v>136</v>
      </c>
      <c r="E230" s="221" t="s">
        <v>665</v>
      </c>
      <c r="F230" s="222" t="s">
        <v>432</v>
      </c>
      <c r="G230" s="223" t="s">
        <v>19</v>
      </c>
      <c r="H230" s="241">
        <v>1140</v>
      </c>
      <c r="I230" s="85"/>
      <c r="J230" s="13">
        <f t="shared" si="16"/>
        <v>0</v>
      </c>
      <c r="K230" s="224" t="e">
        <f t="shared" si="17"/>
        <v>#DIV/0!</v>
      </c>
      <c r="L230" s="72"/>
    </row>
    <row r="231" spans="1:12" ht="25.5" outlineLevel="1">
      <c r="A231" s="89">
        <v>180</v>
      </c>
      <c r="C231" s="12" t="s">
        <v>287</v>
      </c>
      <c r="D231" s="240" t="s">
        <v>137</v>
      </c>
      <c r="E231" s="221" t="s">
        <v>665</v>
      </c>
      <c r="F231" s="222" t="s">
        <v>433</v>
      </c>
      <c r="G231" s="223" t="s">
        <v>19</v>
      </c>
      <c r="H231" s="241">
        <v>91</v>
      </c>
      <c r="I231" s="85"/>
      <c r="J231" s="13">
        <f t="shared" si="16"/>
        <v>0</v>
      </c>
      <c r="K231" s="224" t="e">
        <f t="shared" si="17"/>
        <v>#DIV/0!</v>
      </c>
      <c r="L231" s="72"/>
    </row>
    <row r="232" spans="1:12" ht="25.5" outlineLevel="1">
      <c r="A232" s="89">
        <v>90</v>
      </c>
      <c r="C232" s="12" t="s">
        <v>288</v>
      </c>
      <c r="D232" s="240" t="s">
        <v>138</v>
      </c>
      <c r="E232" s="221" t="s">
        <v>665</v>
      </c>
      <c r="F232" s="222" t="s">
        <v>434</v>
      </c>
      <c r="G232" s="223" t="s">
        <v>19</v>
      </c>
      <c r="H232" s="241">
        <v>100</v>
      </c>
      <c r="I232" s="85"/>
      <c r="J232" s="13">
        <f t="shared" si="16"/>
        <v>0</v>
      </c>
      <c r="K232" s="224" t="e">
        <f t="shared" si="17"/>
        <v>#DIV/0!</v>
      </c>
      <c r="L232" s="72"/>
    </row>
    <row r="233" spans="1:12" ht="25.5" outlineLevel="1">
      <c r="A233" s="89">
        <v>9.6</v>
      </c>
      <c r="C233" s="12" t="s">
        <v>289</v>
      </c>
      <c r="D233" s="240" t="s">
        <v>184</v>
      </c>
      <c r="E233" s="221" t="s">
        <v>665</v>
      </c>
      <c r="F233" s="222" t="s">
        <v>702</v>
      </c>
      <c r="G233" s="223" t="s">
        <v>19</v>
      </c>
      <c r="H233" s="241">
        <v>95</v>
      </c>
      <c r="I233" s="85"/>
      <c r="J233" s="13">
        <f t="shared" si="16"/>
        <v>0</v>
      </c>
      <c r="K233" s="224" t="e">
        <f t="shared" si="17"/>
        <v>#DIV/0!</v>
      </c>
      <c r="L233" s="72"/>
    </row>
    <row r="234" spans="1:12" ht="12.75" outlineLevel="1">
      <c r="A234" s="89">
        <v>9.6</v>
      </c>
      <c r="B234" s="61">
        <f>3*7.1*1.5</f>
        <v>31.949999999999996</v>
      </c>
      <c r="C234" s="12" t="s">
        <v>290</v>
      </c>
      <c r="D234" s="240">
        <v>10448</v>
      </c>
      <c r="E234" s="221" t="s">
        <v>479</v>
      </c>
      <c r="F234" s="222" t="s">
        <v>435</v>
      </c>
      <c r="G234" s="223" t="s">
        <v>436</v>
      </c>
      <c r="H234" s="241">
        <v>31.95</v>
      </c>
      <c r="I234" s="85"/>
      <c r="J234" s="13">
        <f t="shared" si="16"/>
        <v>0</v>
      </c>
      <c r="K234" s="224" t="e">
        <f t="shared" si="17"/>
        <v>#DIV/0!</v>
      </c>
      <c r="L234" s="72"/>
    </row>
    <row r="235" spans="1:12" ht="12.75" outlineLevel="1">
      <c r="A235" s="89">
        <v>0.75</v>
      </c>
      <c r="B235" s="61">
        <f>7.1*3*0.05</f>
        <v>1.065</v>
      </c>
      <c r="C235" s="12" t="s">
        <v>337</v>
      </c>
      <c r="D235" s="240">
        <v>10449</v>
      </c>
      <c r="E235" s="221" t="s">
        <v>479</v>
      </c>
      <c r="F235" s="222" t="s">
        <v>437</v>
      </c>
      <c r="G235" s="223" t="s">
        <v>436</v>
      </c>
      <c r="H235" s="241">
        <v>1.07</v>
      </c>
      <c r="I235" s="85"/>
      <c r="J235" s="13">
        <f t="shared" si="16"/>
        <v>0</v>
      </c>
      <c r="K235" s="224" t="e">
        <f t="shared" si="17"/>
        <v>#DIV/0!</v>
      </c>
      <c r="L235" s="72"/>
    </row>
    <row r="236" spans="1:12" ht="25.5" outlineLevel="1">
      <c r="A236" s="89">
        <v>60</v>
      </c>
      <c r="B236" s="61">
        <f>((7.1*1.5*2)+(3*1.5*2))</f>
        <v>30.299999999999997</v>
      </c>
      <c r="C236" s="12" t="s">
        <v>338</v>
      </c>
      <c r="D236" s="240">
        <v>10450</v>
      </c>
      <c r="E236" s="221" t="s">
        <v>479</v>
      </c>
      <c r="F236" s="222" t="s">
        <v>438</v>
      </c>
      <c r="G236" s="223" t="s">
        <v>370</v>
      </c>
      <c r="H236" s="241">
        <v>30.3</v>
      </c>
      <c r="I236" s="85"/>
      <c r="J236" s="13">
        <f t="shared" si="16"/>
        <v>0</v>
      </c>
      <c r="K236" s="224" t="e">
        <f t="shared" si="17"/>
        <v>#DIV/0!</v>
      </c>
      <c r="L236" s="72"/>
    </row>
    <row r="237" spans="1:12" ht="12.75" outlineLevel="1">
      <c r="A237" s="89">
        <v>12.84</v>
      </c>
      <c r="C237" s="12" t="s">
        <v>339</v>
      </c>
      <c r="D237" s="240">
        <v>10452</v>
      </c>
      <c r="E237" s="221" t="s">
        <v>479</v>
      </c>
      <c r="F237" s="222" t="s">
        <v>439</v>
      </c>
      <c r="G237" s="223" t="s">
        <v>370</v>
      </c>
      <c r="H237" s="241">
        <v>21.299999999999997</v>
      </c>
      <c r="I237" s="85"/>
      <c r="J237" s="13">
        <f t="shared" si="16"/>
        <v>0</v>
      </c>
      <c r="K237" s="224" t="e">
        <f t="shared" si="17"/>
        <v>#DIV/0!</v>
      </c>
      <c r="L237" s="72"/>
    </row>
    <row r="238" spans="1:12" ht="25.5" outlineLevel="1">
      <c r="A238" s="89">
        <v>756</v>
      </c>
      <c r="C238" s="12" t="s">
        <v>340</v>
      </c>
      <c r="D238" s="240" t="s">
        <v>66</v>
      </c>
      <c r="E238" s="221" t="s">
        <v>665</v>
      </c>
      <c r="F238" s="222" t="s">
        <v>440</v>
      </c>
      <c r="G238" s="223" t="s">
        <v>370</v>
      </c>
      <c r="H238" s="241">
        <v>1890</v>
      </c>
      <c r="I238" s="85"/>
      <c r="J238" s="13">
        <f t="shared" si="16"/>
        <v>0</v>
      </c>
      <c r="K238" s="224" t="e">
        <f t="shared" si="17"/>
        <v>#DIV/0!</v>
      </c>
      <c r="L238" s="72"/>
    </row>
    <row r="239" spans="1:12" ht="12.75" outlineLevel="1">
      <c r="A239" s="89">
        <v>378</v>
      </c>
      <c r="C239" s="12" t="s">
        <v>341</v>
      </c>
      <c r="D239" s="242">
        <v>10470</v>
      </c>
      <c r="E239" s="221" t="s">
        <v>479</v>
      </c>
      <c r="F239" s="222" t="s">
        <v>441</v>
      </c>
      <c r="G239" s="223" t="s">
        <v>436</v>
      </c>
      <c r="H239" s="241">
        <v>54.27</v>
      </c>
      <c r="I239" s="85"/>
      <c r="J239" s="13">
        <f t="shared" si="16"/>
        <v>0</v>
      </c>
      <c r="K239" s="224" t="e">
        <f t="shared" si="17"/>
        <v>#DIV/0!</v>
      </c>
      <c r="L239" s="72"/>
    </row>
    <row r="240" spans="1:12" ht="25.5" outlineLevel="1">
      <c r="A240" s="89">
        <v>282</v>
      </c>
      <c r="B240" s="61">
        <v>270</v>
      </c>
      <c r="C240" s="12" t="s">
        <v>342</v>
      </c>
      <c r="D240" s="240">
        <v>101172</v>
      </c>
      <c r="E240" s="221" t="s">
        <v>479</v>
      </c>
      <c r="F240" s="222" t="s">
        <v>442</v>
      </c>
      <c r="G240" s="223" t="s">
        <v>19</v>
      </c>
      <c r="H240" s="241">
        <v>270</v>
      </c>
      <c r="I240" s="85"/>
      <c r="J240" s="13">
        <f t="shared" si="16"/>
        <v>0</v>
      </c>
      <c r="K240" s="224" t="e">
        <f t="shared" si="17"/>
        <v>#DIV/0!</v>
      </c>
      <c r="L240" s="72"/>
    </row>
    <row r="241" spans="1:12" ht="25.5" outlineLevel="1">
      <c r="A241" s="89">
        <v>282</v>
      </c>
      <c r="B241" s="61">
        <v>270</v>
      </c>
      <c r="C241" s="12" t="s">
        <v>343</v>
      </c>
      <c r="D241" s="240">
        <v>101190</v>
      </c>
      <c r="E241" s="221" t="s">
        <v>479</v>
      </c>
      <c r="F241" s="222" t="s">
        <v>443</v>
      </c>
      <c r="G241" s="223" t="s">
        <v>19</v>
      </c>
      <c r="H241" s="241">
        <v>270</v>
      </c>
      <c r="I241" s="85"/>
      <c r="J241" s="13">
        <f t="shared" si="16"/>
        <v>0</v>
      </c>
      <c r="K241" s="224" t="e">
        <f t="shared" si="17"/>
        <v>#DIV/0!</v>
      </c>
      <c r="L241" s="72"/>
    </row>
    <row r="242" spans="1:12" ht="12.75" outlineLevel="1">
      <c r="A242" s="89">
        <v>80</v>
      </c>
      <c r="C242" s="12" t="s">
        <v>344</v>
      </c>
      <c r="D242" s="240" t="s">
        <v>135</v>
      </c>
      <c r="E242" s="221" t="s">
        <v>665</v>
      </c>
      <c r="F242" s="222" t="s">
        <v>703</v>
      </c>
      <c r="G242" s="223" t="s">
        <v>19</v>
      </c>
      <c r="H242" s="241">
        <v>20</v>
      </c>
      <c r="I242" s="85"/>
      <c r="J242" s="13">
        <f t="shared" si="16"/>
        <v>0</v>
      </c>
      <c r="K242" s="224" t="e">
        <f t="shared" si="17"/>
        <v>#DIV/0!</v>
      </c>
      <c r="L242" s="72"/>
    </row>
    <row r="243" spans="1:12" ht="25.5" outlineLevel="1">
      <c r="A243" s="89">
        <v>120</v>
      </c>
      <c r="C243" s="12" t="s">
        <v>345</v>
      </c>
      <c r="D243" s="240" t="s">
        <v>65</v>
      </c>
      <c r="E243" s="221" t="s">
        <v>665</v>
      </c>
      <c r="F243" s="222" t="s">
        <v>444</v>
      </c>
      <c r="G243" s="223" t="s">
        <v>436</v>
      </c>
      <c r="H243" s="241">
        <v>891.8000000000001</v>
      </c>
      <c r="I243" s="85"/>
      <c r="J243" s="13">
        <f t="shared" si="16"/>
        <v>0</v>
      </c>
      <c r="K243" s="224" t="e">
        <f t="shared" si="17"/>
        <v>#DIV/0!</v>
      </c>
      <c r="L243" s="72"/>
    </row>
    <row r="244" spans="1:12" ht="12.75" outlineLevel="1">
      <c r="A244" s="89">
        <v>423</v>
      </c>
      <c r="C244" s="12" t="s">
        <v>346</v>
      </c>
      <c r="D244" s="32" t="s">
        <v>150</v>
      </c>
      <c r="E244" s="221" t="s">
        <v>665</v>
      </c>
      <c r="F244" s="222" t="s">
        <v>445</v>
      </c>
      <c r="G244" s="223" t="s">
        <v>436</v>
      </c>
      <c r="H244" s="241">
        <v>214.2165</v>
      </c>
      <c r="I244" s="85"/>
      <c r="J244" s="13">
        <f t="shared" si="16"/>
        <v>0</v>
      </c>
      <c r="K244" s="224" t="e">
        <f t="shared" si="17"/>
        <v>#DIV/0!</v>
      </c>
      <c r="L244" s="72"/>
    </row>
    <row r="245" spans="1:12" ht="25.5" outlineLevel="1">
      <c r="A245" s="84">
        <v>507.6</v>
      </c>
      <c r="C245" s="12" t="s">
        <v>347</v>
      </c>
      <c r="D245" s="240" t="s">
        <v>151</v>
      </c>
      <c r="E245" s="221" t="s">
        <v>665</v>
      </c>
      <c r="F245" s="222" t="s">
        <v>446</v>
      </c>
      <c r="G245" s="223" t="s">
        <v>436</v>
      </c>
      <c r="H245" s="223">
        <v>214.2165</v>
      </c>
      <c r="I245" s="85"/>
      <c r="J245" s="13">
        <f t="shared" si="16"/>
        <v>0</v>
      </c>
      <c r="K245" s="224" t="e">
        <f t="shared" si="17"/>
        <v>#DIV/0!</v>
      </c>
      <c r="L245" s="72"/>
    </row>
    <row r="246" spans="1:12" ht="12.75" outlineLevel="1">
      <c r="A246" s="84">
        <v>8460</v>
      </c>
      <c r="C246" s="12" t="s">
        <v>348</v>
      </c>
      <c r="D246" s="240" t="s">
        <v>152</v>
      </c>
      <c r="E246" s="221" t="s">
        <v>665</v>
      </c>
      <c r="F246" s="222" t="s">
        <v>447</v>
      </c>
      <c r="G246" s="223" t="s">
        <v>370</v>
      </c>
      <c r="H246" s="223">
        <v>4284.33</v>
      </c>
      <c r="I246" s="85"/>
      <c r="J246" s="13">
        <f t="shared" si="16"/>
        <v>0</v>
      </c>
      <c r="K246" s="224" t="e">
        <f t="shared" si="17"/>
        <v>#DIV/0!</v>
      </c>
      <c r="L246" s="72"/>
    </row>
    <row r="247" spans="1:12" ht="25.5" outlineLevel="1">
      <c r="A247" s="84">
        <v>4653</v>
      </c>
      <c r="B247" s="61">
        <v>4284.33</v>
      </c>
      <c r="C247" s="12" t="s">
        <v>349</v>
      </c>
      <c r="D247" s="240" t="s">
        <v>179</v>
      </c>
      <c r="E247" s="221" t="s">
        <v>665</v>
      </c>
      <c r="F247" s="222" t="s">
        <v>448</v>
      </c>
      <c r="G247" s="223" t="s">
        <v>370</v>
      </c>
      <c r="H247" s="223">
        <v>4284.33</v>
      </c>
      <c r="I247" s="85"/>
      <c r="J247" s="13">
        <f t="shared" si="16"/>
        <v>0</v>
      </c>
      <c r="K247" s="224" t="e">
        <f t="shared" si="17"/>
        <v>#DIV/0!</v>
      </c>
      <c r="L247" s="72"/>
    </row>
    <row r="248" spans="1:12" ht="25.5" outlineLevel="1">
      <c r="A248" s="84">
        <v>822</v>
      </c>
      <c r="B248" s="61">
        <f>(270-84.95)*6+84.95*4-(1.45*2.3*2+3*2.3)</f>
        <v>1436.5300000000002</v>
      </c>
      <c r="C248" s="12" t="s">
        <v>551</v>
      </c>
      <c r="D248" s="240" t="s">
        <v>158</v>
      </c>
      <c r="E248" s="221" t="s">
        <v>665</v>
      </c>
      <c r="F248" s="222" t="s">
        <v>704</v>
      </c>
      <c r="G248" s="223" t="s">
        <v>370</v>
      </c>
      <c r="H248" s="223">
        <v>103.428</v>
      </c>
      <c r="I248" s="85"/>
      <c r="J248" s="13">
        <f t="shared" si="16"/>
        <v>0</v>
      </c>
      <c r="K248" s="224" t="e">
        <f t="shared" si="17"/>
        <v>#DIV/0!</v>
      </c>
      <c r="L248" s="72"/>
    </row>
    <row r="249" spans="1:12" s="7" customFormat="1" ht="14.25" outlineLevel="1">
      <c r="A249" s="83"/>
      <c r="B249" s="61">
        <f>0.19*4*2.9*8</f>
        <v>17.631999999999998</v>
      </c>
      <c r="C249" s="12" t="s">
        <v>552</v>
      </c>
      <c r="D249" s="9" t="s">
        <v>80</v>
      </c>
      <c r="E249" s="221" t="s">
        <v>665</v>
      </c>
      <c r="F249" s="222" t="s">
        <v>81</v>
      </c>
      <c r="G249" s="223" t="s">
        <v>370</v>
      </c>
      <c r="H249" s="216">
        <v>246.73</v>
      </c>
      <c r="I249" s="85"/>
      <c r="J249" s="13">
        <f t="shared" si="16"/>
        <v>0</v>
      </c>
      <c r="K249" s="224" t="e">
        <f t="shared" si="17"/>
        <v>#DIV/0!</v>
      </c>
      <c r="L249" s="72"/>
    </row>
    <row r="250" spans="1:12" ht="12.75" outlineLevel="1">
      <c r="A250" s="83"/>
      <c r="B250" s="61">
        <f>0.19*4*2.9*8</f>
        <v>17.631999999999998</v>
      </c>
      <c r="C250" s="12" t="s">
        <v>553</v>
      </c>
      <c r="D250" s="9" t="s">
        <v>82</v>
      </c>
      <c r="E250" s="221" t="s">
        <v>665</v>
      </c>
      <c r="F250" s="222" t="s">
        <v>381</v>
      </c>
      <c r="G250" s="223" t="s">
        <v>370</v>
      </c>
      <c r="H250" s="216">
        <v>246.73</v>
      </c>
      <c r="I250" s="85"/>
      <c r="J250" s="13">
        <f t="shared" si="16"/>
        <v>0</v>
      </c>
      <c r="K250" s="224" t="e">
        <f t="shared" si="17"/>
        <v>#DIV/0!</v>
      </c>
      <c r="L250" s="72"/>
    </row>
    <row r="251" spans="1:12" ht="12.75" outlineLevel="1">
      <c r="A251" s="80"/>
      <c r="B251" s="61">
        <f>0.19*4*2.9*8</f>
        <v>17.631999999999998</v>
      </c>
      <c r="C251" s="12" t="s">
        <v>554</v>
      </c>
      <c r="D251" s="212" t="s">
        <v>99</v>
      </c>
      <c r="E251" s="213" t="s">
        <v>665</v>
      </c>
      <c r="F251" s="214" t="s">
        <v>705</v>
      </c>
      <c r="G251" s="215" t="s">
        <v>370</v>
      </c>
      <c r="H251" s="216">
        <v>246.73</v>
      </c>
      <c r="I251" s="81"/>
      <c r="J251" s="19">
        <f t="shared" si="16"/>
        <v>0</v>
      </c>
      <c r="K251" s="217" t="e">
        <f t="shared" si="17"/>
        <v>#DIV/0!</v>
      </c>
      <c r="L251" s="72"/>
    </row>
    <row r="252" spans="1:12" ht="25.5" outlineLevel="1">
      <c r="A252" s="84">
        <v>822</v>
      </c>
      <c r="B252" s="61">
        <f>(270-84.95)*6+84.95*4-(1.45*2.3*2+3*2.3)</f>
        <v>1436.5300000000002</v>
      </c>
      <c r="C252" s="12" t="s">
        <v>555</v>
      </c>
      <c r="D252" s="240" t="s">
        <v>101</v>
      </c>
      <c r="E252" s="221" t="s">
        <v>665</v>
      </c>
      <c r="F252" s="222" t="s">
        <v>449</v>
      </c>
      <c r="G252" s="223" t="s">
        <v>370</v>
      </c>
      <c r="H252" s="223">
        <v>1500.65</v>
      </c>
      <c r="I252" s="85"/>
      <c r="J252" s="13">
        <f t="shared" si="16"/>
        <v>0</v>
      </c>
      <c r="K252" s="224" t="e">
        <f t="shared" si="17"/>
        <v>#DIV/0!</v>
      </c>
      <c r="L252" s="72"/>
    </row>
    <row r="253" spans="1:12" ht="25.5" outlineLevel="1">
      <c r="A253" s="91">
        <v>20.4</v>
      </c>
      <c r="B253" s="61">
        <f>1.45*2.3*2+3*2.3</f>
        <v>13.569999999999999</v>
      </c>
      <c r="C253" s="12" t="s">
        <v>556</v>
      </c>
      <c r="D253" s="243" t="s">
        <v>89</v>
      </c>
      <c r="E253" s="244" t="s">
        <v>665</v>
      </c>
      <c r="F253" s="245" t="s">
        <v>450</v>
      </c>
      <c r="G253" s="246" t="s">
        <v>370</v>
      </c>
      <c r="H253" s="246">
        <v>10.35</v>
      </c>
      <c r="I253" s="94"/>
      <c r="J253" s="44">
        <f t="shared" si="16"/>
        <v>0</v>
      </c>
      <c r="K253" s="247" t="e">
        <f t="shared" si="17"/>
        <v>#DIV/0!</v>
      </c>
      <c r="L253" s="72"/>
    </row>
    <row r="254" spans="1:12" ht="14.25" customHeight="1" outlineLevel="1">
      <c r="A254" s="91">
        <v>20.4</v>
      </c>
      <c r="B254" s="61">
        <f>1.45*2.3*2+3*2.3</f>
        <v>13.569999999999999</v>
      </c>
      <c r="C254" s="12" t="s">
        <v>557</v>
      </c>
      <c r="D254" s="248" t="s">
        <v>181</v>
      </c>
      <c r="E254" s="249" t="s">
        <v>665</v>
      </c>
      <c r="F254" s="250" t="s">
        <v>410</v>
      </c>
      <c r="G254" s="251" t="s">
        <v>370</v>
      </c>
      <c r="H254" s="251">
        <v>10.35</v>
      </c>
      <c r="I254" s="95"/>
      <c r="J254" s="47">
        <f t="shared" si="16"/>
        <v>0</v>
      </c>
      <c r="K254" s="252" t="e">
        <f t="shared" si="17"/>
        <v>#DIV/0!</v>
      </c>
      <c r="L254" s="72"/>
    </row>
    <row r="255" spans="1:12" ht="12.75" outlineLevel="1">
      <c r="A255" s="88"/>
      <c r="C255" s="253" t="s">
        <v>291</v>
      </c>
      <c r="D255" s="254"/>
      <c r="E255" s="232"/>
      <c r="F255" s="233" t="s">
        <v>25</v>
      </c>
      <c r="G255" s="234">
        <f>ROUND(SUM(J256:J280),2)</f>
        <v>0</v>
      </c>
      <c r="H255" s="234"/>
      <c r="I255" s="88"/>
      <c r="J255" s="234"/>
      <c r="K255" s="235" t="e">
        <f>G255/$I$394</f>
        <v>#DIV/0!</v>
      </c>
      <c r="L255" s="72"/>
    </row>
    <row r="256" spans="1:12" ht="12.75" outlineLevel="1">
      <c r="A256" s="80">
        <v>28.44</v>
      </c>
      <c r="B256" s="61">
        <v>144</v>
      </c>
      <c r="C256" s="41" t="s">
        <v>292</v>
      </c>
      <c r="D256" s="212" t="s">
        <v>77</v>
      </c>
      <c r="E256" s="213" t="s">
        <v>665</v>
      </c>
      <c r="F256" s="214" t="s">
        <v>669</v>
      </c>
      <c r="G256" s="215" t="s">
        <v>19</v>
      </c>
      <c r="H256" s="216">
        <v>144</v>
      </c>
      <c r="I256" s="81"/>
      <c r="J256" s="19">
        <f aca="true" t="shared" si="18" ref="J256:J280">ROUND(_xlfn.IFERROR(H256*I256," - "),2)</f>
        <v>0</v>
      </c>
      <c r="K256" s="217" t="e">
        <f aca="true" t="shared" si="19" ref="K256:K280">J256/$I$394</f>
        <v>#DIV/0!</v>
      </c>
      <c r="L256" s="72"/>
    </row>
    <row r="257" spans="1:12" ht="25.5" outlineLevel="1">
      <c r="A257" s="80">
        <v>14.22</v>
      </c>
      <c r="B257" s="61">
        <f>56.88+8.78</f>
        <v>65.66</v>
      </c>
      <c r="C257" s="38" t="s">
        <v>293</v>
      </c>
      <c r="D257" s="212" t="s">
        <v>51</v>
      </c>
      <c r="E257" s="213" t="s">
        <v>665</v>
      </c>
      <c r="F257" s="214" t="s">
        <v>368</v>
      </c>
      <c r="G257" s="215" t="s">
        <v>436</v>
      </c>
      <c r="H257" s="216">
        <v>65.66</v>
      </c>
      <c r="I257" s="81"/>
      <c r="J257" s="19">
        <f t="shared" si="18"/>
        <v>0</v>
      </c>
      <c r="K257" s="217" t="e">
        <f t="shared" si="19"/>
        <v>#DIV/0!</v>
      </c>
      <c r="L257" s="72"/>
    </row>
    <row r="258" spans="1:12" ht="12.75" outlineLevel="1">
      <c r="A258" s="96"/>
      <c r="B258" s="97">
        <v>1</v>
      </c>
      <c r="C258" s="38" t="s">
        <v>294</v>
      </c>
      <c r="D258" s="240" t="s">
        <v>64</v>
      </c>
      <c r="E258" s="255" t="s">
        <v>665</v>
      </c>
      <c r="F258" s="256" t="s">
        <v>430</v>
      </c>
      <c r="G258" s="257" t="s">
        <v>436</v>
      </c>
      <c r="H258" s="241">
        <v>28.08</v>
      </c>
      <c r="I258" s="98"/>
      <c r="J258" s="30">
        <f t="shared" si="18"/>
        <v>0</v>
      </c>
      <c r="K258" s="258" t="e">
        <f t="shared" si="19"/>
        <v>#DIV/0!</v>
      </c>
      <c r="L258" s="72"/>
    </row>
    <row r="259" spans="1:12" ht="12.75" outlineLevel="1">
      <c r="A259" s="96"/>
      <c r="B259" s="97">
        <f>9*5</f>
        <v>45</v>
      </c>
      <c r="C259" s="38" t="s">
        <v>295</v>
      </c>
      <c r="D259" s="240">
        <v>10310</v>
      </c>
      <c r="E259" s="255" t="s">
        <v>479</v>
      </c>
      <c r="F259" s="256" t="s">
        <v>700</v>
      </c>
      <c r="G259" s="257" t="s">
        <v>701</v>
      </c>
      <c r="H259" s="241">
        <v>561.5999999999999</v>
      </c>
      <c r="I259" s="98"/>
      <c r="J259" s="30">
        <f t="shared" si="18"/>
        <v>0</v>
      </c>
      <c r="K259" s="258" t="e">
        <f t="shared" si="19"/>
        <v>#DIV/0!</v>
      </c>
      <c r="L259" s="72"/>
    </row>
    <row r="260" spans="1:12" ht="25.5" outlineLevel="1">
      <c r="A260" s="89">
        <v>22</v>
      </c>
      <c r="B260" s="72">
        <v>35</v>
      </c>
      <c r="C260" s="38" t="s">
        <v>296</v>
      </c>
      <c r="D260" s="240" t="s">
        <v>157</v>
      </c>
      <c r="E260" s="221" t="s">
        <v>665</v>
      </c>
      <c r="F260" s="222" t="s">
        <v>431</v>
      </c>
      <c r="G260" s="223" t="s">
        <v>436</v>
      </c>
      <c r="H260" s="241">
        <v>28.08</v>
      </c>
      <c r="I260" s="89"/>
      <c r="J260" s="35">
        <f t="shared" si="18"/>
        <v>0</v>
      </c>
      <c r="K260" s="259" t="e">
        <f t="shared" si="19"/>
        <v>#DIV/0!</v>
      </c>
      <c r="L260" s="72"/>
    </row>
    <row r="261" spans="1:12" ht="12.75" outlineLevel="1">
      <c r="A261" s="80">
        <v>28.44</v>
      </c>
      <c r="B261" s="61">
        <f>94.8+13.5</f>
        <v>108.3</v>
      </c>
      <c r="C261" s="38" t="s">
        <v>297</v>
      </c>
      <c r="D261" s="212">
        <v>10410</v>
      </c>
      <c r="E261" s="213" t="s">
        <v>479</v>
      </c>
      <c r="F261" s="214" t="s">
        <v>369</v>
      </c>
      <c r="G261" s="215" t="s">
        <v>370</v>
      </c>
      <c r="H261" s="216">
        <v>108.3</v>
      </c>
      <c r="I261" s="81"/>
      <c r="J261" s="19">
        <f t="shared" si="18"/>
        <v>0</v>
      </c>
      <c r="K261" s="217" t="e">
        <f t="shared" si="19"/>
        <v>#DIV/0!</v>
      </c>
      <c r="L261" s="72"/>
    </row>
    <row r="262" spans="1:12" ht="12.75" outlineLevel="1">
      <c r="A262" s="80">
        <v>4.62</v>
      </c>
      <c r="B262" s="61">
        <f>0.68+4.74</f>
        <v>5.42</v>
      </c>
      <c r="C262" s="38" t="s">
        <v>298</v>
      </c>
      <c r="D262" s="212" t="s">
        <v>75</v>
      </c>
      <c r="E262" s="213" t="s">
        <v>665</v>
      </c>
      <c r="F262" s="214" t="s">
        <v>371</v>
      </c>
      <c r="G262" s="215" t="s">
        <v>436</v>
      </c>
      <c r="H262" s="216">
        <v>5.42</v>
      </c>
      <c r="I262" s="81"/>
      <c r="J262" s="19">
        <f t="shared" si="18"/>
        <v>0</v>
      </c>
      <c r="K262" s="217" t="e">
        <f t="shared" si="19"/>
        <v>#DIV/0!</v>
      </c>
      <c r="L262" s="72"/>
    </row>
    <row r="263" spans="1:12" s="43" customFormat="1" ht="12.75" outlineLevel="1">
      <c r="A263" s="80">
        <v>218.69</v>
      </c>
      <c r="B263" s="93">
        <f>357.19+103.8*2+681.4*2</f>
        <v>1927.59</v>
      </c>
      <c r="C263" s="38" t="s">
        <v>333</v>
      </c>
      <c r="D263" s="218" t="s">
        <v>69</v>
      </c>
      <c r="E263" s="213" t="s">
        <v>665</v>
      </c>
      <c r="F263" s="214" t="s">
        <v>372</v>
      </c>
      <c r="G263" s="215" t="s">
        <v>60</v>
      </c>
      <c r="H263" s="216">
        <v>1927.59</v>
      </c>
      <c r="I263" s="82"/>
      <c r="J263" s="42">
        <f t="shared" si="18"/>
        <v>0</v>
      </c>
      <c r="K263" s="220" t="e">
        <f t="shared" si="19"/>
        <v>#DIV/0!</v>
      </c>
      <c r="L263" s="72"/>
    </row>
    <row r="264" spans="1:12" ht="12.75" outlineLevel="1">
      <c r="A264" s="80">
        <v>218.69</v>
      </c>
      <c r="B264" s="61">
        <f>176.75+25.92</f>
        <v>202.67000000000002</v>
      </c>
      <c r="C264" s="38" t="s">
        <v>334</v>
      </c>
      <c r="D264" s="212" t="s">
        <v>67</v>
      </c>
      <c r="E264" s="213" t="s">
        <v>665</v>
      </c>
      <c r="F264" s="214" t="s">
        <v>671</v>
      </c>
      <c r="G264" s="215" t="s">
        <v>370</v>
      </c>
      <c r="H264" s="216">
        <v>202.67</v>
      </c>
      <c r="I264" s="81"/>
      <c r="J264" s="19">
        <f t="shared" si="18"/>
        <v>0</v>
      </c>
      <c r="K264" s="217" t="e">
        <f t="shared" si="19"/>
        <v>#DIV/0!</v>
      </c>
      <c r="L264" s="72"/>
    </row>
    <row r="265" spans="1:12" ht="12.75" outlineLevel="1">
      <c r="A265" s="80">
        <v>218.69</v>
      </c>
      <c r="B265" s="61">
        <v>16.42</v>
      </c>
      <c r="C265" s="38" t="s">
        <v>335</v>
      </c>
      <c r="D265" s="212" t="s">
        <v>68</v>
      </c>
      <c r="E265" s="213" t="s">
        <v>665</v>
      </c>
      <c r="F265" s="214" t="s">
        <v>672</v>
      </c>
      <c r="G265" s="215" t="s">
        <v>370</v>
      </c>
      <c r="H265" s="216">
        <v>16.42</v>
      </c>
      <c r="I265" s="81"/>
      <c r="J265" s="19">
        <f t="shared" si="18"/>
        <v>0</v>
      </c>
      <c r="K265" s="217" t="e">
        <f t="shared" si="19"/>
        <v>#DIV/0!</v>
      </c>
      <c r="L265" s="72"/>
    </row>
    <row r="266" spans="1:12" ht="12.75" outlineLevel="1">
      <c r="A266" s="80">
        <v>14.29</v>
      </c>
      <c r="B266" s="61">
        <f>0.78+2.92+16.79</f>
        <v>20.49</v>
      </c>
      <c r="C266" s="38" t="s">
        <v>350</v>
      </c>
      <c r="D266" s="212" t="s">
        <v>70</v>
      </c>
      <c r="E266" s="213" t="s">
        <v>665</v>
      </c>
      <c r="F266" s="214" t="s">
        <v>373</v>
      </c>
      <c r="G266" s="215" t="s">
        <v>436</v>
      </c>
      <c r="H266" s="216">
        <v>20.49</v>
      </c>
      <c r="I266" s="81"/>
      <c r="J266" s="19">
        <f t="shared" si="18"/>
        <v>0</v>
      </c>
      <c r="K266" s="217" t="e">
        <f t="shared" si="19"/>
        <v>#DIV/0!</v>
      </c>
      <c r="L266" s="72"/>
    </row>
    <row r="267" spans="1:12" ht="25.5" outlineLevel="1">
      <c r="A267" s="80">
        <v>14.29</v>
      </c>
      <c r="B267" s="61">
        <f>B266</f>
        <v>20.49</v>
      </c>
      <c r="C267" s="38" t="s">
        <v>351</v>
      </c>
      <c r="D267" s="212" t="s">
        <v>73</v>
      </c>
      <c r="E267" s="213" t="s">
        <v>665</v>
      </c>
      <c r="F267" s="214" t="s">
        <v>374</v>
      </c>
      <c r="G267" s="215" t="s">
        <v>436</v>
      </c>
      <c r="H267" s="216">
        <v>20.49</v>
      </c>
      <c r="I267" s="81"/>
      <c r="J267" s="19">
        <f t="shared" si="18"/>
        <v>0</v>
      </c>
      <c r="K267" s="217" t="e">
        <f t="shared" si="19"/>
        <v>#DIV/0!</v>
      </c>
      <c r="L267" s="72"/>
    </row>
    <row r="268" spans="1:12" s="43" customFormat="1" ht="25.5" outlineLevel="1">
      <c r="A268" s="80"/>
      <c r="B268" s="72"/>
      <c r="C268" s="38" t="s">
        <v>474</v>
      </c>
      <c r="D268" s="218" t="s">
        <v>97</v>
      </c>
      <c r="E268" s="213" t="s">
        <v>665</v>
      </c>
      <c r="F268" s="214" t="s">
        <v>674</v>
      </c>
      <c r="G268" s="215" t="s">
        <v>370</v>
      </c>
      <c r="H268" s="216">
        <v>186.87</v>
      </c>
      <c r="I268" s="82"/>
      <c r="J268" s="42">
        <f t="shared" si="18"/>
        <v>0</v>
      </c>
      <c r="K268" s="220" t="e">
        <f t="shared" si="19"/>
        <v>#DIV/0!</v>
      </c>
      <c r="L268" s="72"/>
    </row>
    <row r="269" spans="1:12" ht="12.75" outlineLevel="1">
      <c r="A269" s="80">
        <v>4.62</v>
      </c>
      <c r="B269" s="61">
        <f>27.99+4.67</f>
        <v>32.66</v>
      </c>
      <c r="C269" s="38" t="s">
        <v>475</v>
      </c>
      <c r="D269" s="212" t="s">
        <v>62</v>
      </c>
      <c r="E269" s="213" t="s">
        <v>665</v>
      </c>
      <c r="F269" s="214" t="s">
        <v>375</v>
      </c>
      <c r="G269" s="215" t="s">
        <v>436</v>
      </c>
      <c r="H269" s="216">
        <v>23.13</v>
      </c>
      <c r="I269" s="81"/>
      <c r="J269" s="19">
        <f t="shared" si="18"/>
        <v>0</v>
      </c>
      <c r="K269" s="217" t="e">
        <f t="shared" si="19"/>
        <v>#DIV/0!</v>
      </c>
      <c r="L269" s="72"/>
    </row>
    <row r="270" spans="1:12" ht="25.5" outlineLevel="1">
      <c r="A270" s="80">
        <v>4.62</v>
      </c>
      <c r="B270" s="61">
        <f>27.99+4.67</f>
        <v>32.66</v>
      </c>
      <c r="C270" s="38" t="s">
        <v>476</v>
      </c>
      <c r="D270" s="212" t="s">
        <v>61</v>
      </c>
      <c r="E270" s="213" t="s">
        <v>665</v>
      </c>
      <c r="F270" s="214" t="s">
        <v>675</v>
      </c>
      <c r="G270" s="215" t="s">
        <v>436</v>
      </c>
      <c r="H270" s="216">
        <v>28.07</v>
      </c>
      <c r="I270" s="81"/>
      <c r="J270" s="19">
        <f t="shared" si="18"/>
        <v>0</v>
      </c>
      <c r="K270" s="217" t="e">
        <f t="shared" si="19"/>
        <v>#DIV/0!</v>
      </c>
      <c r="L270" s="72"/>
    </row>
    <row r="271" spans="1:12" ht="25.5" outlineLevel="1">
      <c r="A271" s="80">
        <v>59.94</v>
      </c>
      <c r="B271" s="61">
        <f>B270</f>
        <v>32.66</v>
      </c>
      <c r="C271" s="38" t="s">
        <v>477</v>
      </c>
      <c r="D271" s="212" t="s">
        <v>157</v>
      </c>
      <c r="E271" s="213" t="s">
        <v>665</v>
      </c>
      <c r="F271" s="214" t="s">
        <v>431</v>
      </c>
      <c r="G271" s="215" t="s">
        <v>436</v>
      </c>
      <c r="H271" s="216">
        <v>28.07</v>
      </c>
      <c r="I271" s="81"/>
      <c r="J271" s="19">
        <f t="shared" si="18"/>
        <v>0</v>
      </c>
      <c r="K271" s="217" t="e">
        <f t="shared" si="19"/>
        <v>#DIV/0!</v>
      </c>
      <c r="L271" s="72"/>
    </row>
    <row r="272" spans="1:12" ht="12.75" outlineLevel="1">
      <c r="A272" s="84">
        <v>156</v>
      </c>
      <c r="C272" s="38" t="s">
        <v>478</v>
      </c>
      <c r="D272" s="240" t="s">
        <v>498</v>
      </c>
      <c r="E272" s="221" t="s">
        <v>666</v>
      </c>
      <c r="F272" s="222" t="s">
        <v>706</v>
      </c>
      <c r="G272" s="223" t="s">
        <v>19</v>
      </c>
      <c r="H272" s="223">
        <v>20</v>
      </c>
      <c r="I272" s="85"/>
      <c r="J272" s="13">
        <f t="shared" si="18"/>
        <v>0</v>
      </c>
      <c r="K272" s="224" t="e">
        <f t="shared" si="19"/>
        <v>#DIV/0!</v>
      </c>
      <c r="L272" s="72"/>
    </row>
    <row r="273" spans="1:12" ht="12.75" outlineLevel="1">
      <c r="A273" s="84">
        <v>156</v>
      </c>
      <c r="C273" s="38" t="s">
        <v>558</v>
      </c>
      <c r="D273" s="240" t="s">
        <v>499</v>
      </c>
      <c r="E273" s="221" t="s">
        <v>666</v>
      </c>
      <c r="F273" s="222" t="s">
        <v>707</v>
      </c>
      <c r="G273" s="223" t="s">
        <v>708</v>
      </c>
      <c r="H273" s="223">
        <v>2000</v>
      </c>
      <c r="I273" s="85"/>
      <c r="J273" s="13">
        <f t="shared" si="18"/>
        <v>0</v>
      </c>
      <c r="K273" s="224" t="e">
        <f t="shared" si="19"/>
        <v>#DIV/0!</v>
      </c>
      <c r="L273" s="72"/>
    </row>
    <row r="274" spans="1:12" ht="12.75" outlineLevel="1">
      <c r="A274" s="99">
        <v>156</v>
      </c>
      <c r="C274" s="38" t="s">
        <v>559</v>
      </c>
      <c r="D274" s="240">
        <v>40161</v>
      </c>
      <c r="E274" s="221" t="s">
        <v>479</v>
      </c>
      <c r="F274" s="222" t="s">
        <v>709</v>
      </c>
      <c r="G274" s="223" t="s">
        <v>370</v>
      </c>
      <c r="H274" s="260">
        <v>156</v>
      </c>
      <c r="I274" s="85"/>
      <c r="J274" s="13">
        <f t="shared" si="18"/>
        <v>0</v>
      </c>
      <c r="K274" s="224" t="e">
        <f t="shared" si="19"/>
        <v>#DIV/0!</v>
      </c>
      <c r="L274" s="72"/>
    </row>
    <row r="275" spans="1:12" ht="25.5" outlineLevel="1">
      <c r="A275" s="100">
        <v>416</v>
      </c>
      <c r="C275" s="38" t="s">
        <v>560</v>
      </c>
      <c r="D275" s="243">
        <v>89998</v>
      </c>
      <c r="E275" s="244" t="s">
        <v>664</v>
      </c>
      <c r="F275" s="245" t="s">
        <v>710</v>
      </c>
      <c r="G275" s="246" t="s">
        <v>60</v>
      </c>
      <c r="H275" s="261">
        <v>98.04</v>
      </c>
      <c r="I275" s="94"/>
      <c r="J275" s="44">
        <f t="shared" si="18"/>
        <v>0</v>
      </c>
      <c r="K275" s="247" t="e">
        <f t="shared" si="19"/>
        <v>#DIV/0!</v>
      </c>
      <c r="L275" s="72"/>
    </row>
    <row r="276" spans="1:12" ht="25.5" outlineLevel="1">
      <c r="A276" s="101">
        <v>62.4</v>
      </c>
      <c r="B276" s="102"/>
      <c r="C276" s="38" t="s">
        <v>561</v>
      </c>
      <c r="D276" s="262">
        <v>89996</v>
      </c>
      <c r="E276" s="263" t="s">
        <v>664</v>
      </c>
      <c r="F276" s="264" t="s">
        <v>711</v>
      </c>
      <c r="G276" s="265" t="s">
        <v>60</v>
      </c>
      <c r="H276" s="265">
        <v>26.44</v>
      </c>
      <c r="I276" s="103"/>
      <c r="J276" s="46">
        <f t="shared" si="18"/>
        <v>0</v>
      </c>
      <c r="K276" s="266" t="e">
        <f t="shared" si="19"/>
        <v>#DIV/0!</v>
      </c>
      <c r="L276" s="72"/>
    </row>
    <row r="277" spans="1:12" ht="12.75" outlineLevel="1">
      <c r="A277" s="101">
        <v>156</v>
      </c>
      <c r="B277" s="102"/>
      <c r="C277" s="38" t="s">
        <v>562</v>
      </c>
      <c r="D277" s="262">
        <v>89993</v>
      </c>
      <c r="E277" s="263" t="s">
        <v>664</v>
      </c>
      <c r="F277" s="264" t="s">
        <v>712</v>
      </c>
      <c r="G277" s="265" t="s">
        <v>436</v>
      </c>
      <c r="H277" s="265">
        <v>0.89</v>
      </c>
      <c r="I277" s="103"/>
      <c r="J277" s="46">
        <f t="shared" si="18"/>
        <v>0</v>
      </c>
      <c r="K277" s="266" t="e">
        <f t="shared" si="19"/>
        <v>#DIV/0!</v>
      </c>
      <c r="L277" s="72"/>
    </row>
    <row r="278" spans="1:12" ht="12.75" outlineLevel="1">
      <c r="A278" s="99">
        <v>416</v>
      </c>
      <c r="C278" s="38" t="s">
        <v>563</v>
      </c>
      <c r="D278" s="240" t="s">
        <v>80</v>
      </c>
      <c r="E278" s="221" t="s">
        <v>665</v>
      </c>
      <c r="F278" s="222" t="s">
        <v>81</v>
      </c>
      <c r="G278" s="223" t="s">
        <v>370</v>
      </c>
      <c r="H278" s="260">
        <v>161.5</v>
      </c>
      <c r="I278" s="85"/>
      <c r="J278" s="13">
        <f t="shared" si="18"/>
        <v>0</v>
      </c>
      <c r="K278" s="224" t="e">
        <f t="shared" si="19"/>
        <v>#DIV/0!</v>
      </c>
      <c r="L278" s="72"/>
    </row>
    <row r="279" spans="1:12" ht="12.75" outlineLevel="1">
      <c r="A279" s="104">
        <v>156</v>
      </c>
      <c r="C279" s="38" t="s">
        <v>564</v>
      </c>
      <c r="D279" s="267" t="s">
        <v>82</v>
      </c>
      <c r="E279" s="268" t="s">
        <v>665</v>
      </c>
      <c r="F279" s="269" t="s">
        <v>381</v>
      </c>
      <c r="G279" s="270" t="s">
        <v>370</v>
      </c>
      <c r="H279" s="270">
        <v>161.5</v>
      </c>
      <c r="I279" s="105"/>
      <c r="J279" s="45">
        <f t="shared" si="18"/>
        <v>0</v>
      </c>
      <c r="K279" s="271" t="e">
        <f t="shared" si="19"/>
        <v>#DIV/0!</v>
      </c>
      <c r="L279" s="72"/>
    </row>
    <row r="280" spans="1:12" ht="12.75" outlineLevel="1">
      <c r="A280" s="99">
        <v>156</v>
      </c>
      <c r="C280" s="38" t="s">
        <v>565</v>
      </c>
      <c r="D280" s="240" t="s">
        <v>98</v>
      </c>
      <c r="E280" s="221" t="s">
        <v>665</v>
      </c>
      <c r="F280" s="222" t="s">
        <v>411</v>
      </c>
      <c r="G280" s="223" t="s">
        <v>370</v>
      </c>
      <c r="H280" s="260">
        <v>161.5</v>
      </c>
      <c r="I280" s="85"/>
      <c r="J280" s="13">
        <f t="shared" si="18"/>
        <v>0</v>
      </c>
      <c r="K280" s="224" t="e">
        <f t="shared" si="19"/>
        <v>#DIV/0!</v>
      </c>
      <c r="L280" s="72"/>
    </row>
    <row r="281" spans="1:12" ht="12.75" outlineLevel="1">
      <c r="A281" s="88"/>
      <c r="C281" s="253" t="s">
        <v>53</v>
      </c>
      <c r="D281" s="254"/>
      <c r="E281" s="232"/>
      <c r="F281" s="233" t="s">
        <v>522</v>
      </c>
      <c r="G281" s="234">
        <f>ROUND(SUM(J282:J291),2)</f>
        <v>0</v>
      </c>
      <c r="H281" s="234"/>
      <c r="I281" s="88"/>
      <c r="J281" s="234"/>
      <c r="K281" s="235" t="e">
        <f>G281/$I$394</f>
        <v>#DIV/0!</v>
      </c>
      <c r="L281" s="72"/>
    </row>
    <row r="282" spans="1:12" ht="12.75" outlineLevel="1">
      <c r="A282" s="106">
        <v>2312</v>
      </c>
      <c r="B282" s="107">
        <f>215.99+194.34+264.27+12.56+43.9+50.88+29.45+60.12+39.06+31.4+11.05+187.77+63.03+3.25+24.56+8.88+3.75+26.92+3.83+9.44+9.51+4.33+9.52+31.98</f>
        <v>1339.79</v>
      </c>
      <c r="C282" s="25" t="s">
        <v>299</v>
      </c>
      <c r="D282" s="48">
        <v>10401</v>
      </c>
      <c r="E282" s="272" t="s">
        <v>479</v>
      </c>
      <c r="F282" s="273" t="s">
        <v>713</v>
      </c>
      <c r="G282" s="274" t="s">
        <v>436</v>
      </c>
      <c r="H282" s="275">
        <v>66.5235</v>
      </c>
      <c r="I282" s="108"/>
      <c r="J282" s="27">
        <f aca="true" t="shared" si="20" ref="J282:J291">ROUND(_xlfn.IFERROR(H282*I282," - "),2)</f>
        <v>0</v>
      </c>
      <c r="K282" s="276" t="e">
        <f aca="true" t="shared" si="21" ref="K282:K291">J282/$I$394</f>
        <v>#DIV/0!</v>
      </c>
      <c r="L282" s="72"/>
    </row>
    <row r="283" spans="1:12" ht="12.75" outlineLevel="1">
      <c r="A283" s="96"/>
      <c r="B283" s="97">
        <f>ROUND((46.28+133.21+32.62+31.2+37.01+40.46+9.46+113.06+9.59+12.34+2.67+7.15+1.32+27.05)*0.1,2)+ROUND((286.75-64*2-25.1)*0.1,2)</f>
        <v>63.71</v>
      </c>
      <c r="C283" s="28" t="s">
        <v>300</v>
      </c>
      <c r="D283" s="29">
        <v>20210</v>
      </c>
      <c r="E283" s="255" t="s">
        <v>479</v>
      </c>
      <c r="F283" s="256" t="s">
        <v>369</v>
      </c>
      <c r="G283" s="257" t="s">
        <v>370</v>
      </c>
      <c r="H283" s="241">
        <v>443.49</v>
      </c>
      <c r="I283" s="98"/>
      <c r="J283" s="30">
        <f t="shared" si="20"/>
        <v>0</v>
      </c>
      <c r="K283" s="258" t="e">
        <f t="shared" si="21"/>
        <v>#DIV/0!</v>
      </c>
      <c r="L283" s="72"/>
    </row>
    <row r="284" spans="1:12" ht="25.5" customHeight="1" outlineLevel="1">
      <c r="A284" s="96"/>
      <c r="B284" s="97">
        <v>336.81</v>
      </c>
      <c r="C284" s="28" t="s">
        <v>301</v>
      </c>
      <c r="D284" s="29">
        <v>100324</v>
      </c>
      <c r="E284" s="255" t="s">
        <v>664</v>
      </c>
      <c r="F284" s="256" t="s">
        <v>714</v>
      </c>
      <c r="G284" s="257" t="s">
        <v>436</v>
      </c>
      <c r="H284" s="241">
        <v>22.174500000000002</v>
      </c>
      <c r="I284" s="98"/>
      <c r="J284" s="30">
        <f t="shared" si="20"/>
        <v>0</v>
      </c>
      <c r="K284" s="258" t="e">
        <f t="shared" si="21"/>
        <v>#DIV/0!</v>
      </c>
      <c r="L284" s="72"/>
    </row>
    <row r="285" spans="1:12" ht="12.75" outlineLevel="1">
      <c r="A285" s="96"/>
      <c r="B285" s="97">
        <v>1</v>
      </c>
      <c r="C285" s="28" t="s">
        <v>302</v>
      </c>
      <c r="D285" s="240" t="s">
        <v>64</v>
      </c>
      <c r="E285" s="255" t="s">
        <v>665</v>
      </c>
      <c r="F285" s="256" t="s">
        <v>430</v>
      </c>
      <c r="G285" s="257" t="s">
        <v>436</v>
      </c>
      <c r="H285" s="241">
        <v>66.5235</v>
      </c>
      <c r="I285" s="98"/>
      <c r="J285" s="30">
        <f t="shared" si="20"/>
        <v>0</v>
      </c>
      <c r="K285" s="258" t="e">
        <f t="shared" si="21"/>
        <v>#DIV/0!</v>
      </c>
      <c r="L285" s="72"/>
    </row>
    <row r="286" spans="1:12" ht="12.75" outlineLevel="1">
      <c r="A286" s="96"/>
      <c r="B286" s="97">
        <f>9*5</f>
        <v>45</v>
      </c>
      <c r="C286" s="28" t="s">
        <v>352</v>
      </c>
      <c r="D286" s="240">
        <v>10310</v>
      </c>
      <c r="E286" s="255" t="s">
        <v>479</v>
      </c>
      <c r="F286" s="256" t="s">
        <v>700</v>
      </c>
      <c r="G286" s="257" t="s">
        <v>701</v>
      </c>
      <c r="H286" s="241">
        <v>1330.47</v>
      </c>
      <c r="I286" s="98"/>
      <c r="J286" s="30">
        <f t="shared" si="20"/>
        <v>0</v>
      </c>
      <c r="K286" s="258" t="e">
        <f t="shared" si="21"/>
        <v>#DIV/0!</v>
      </c>
      <c r="L286" s="72"/>
    </row>
    <row r="287" spans="1:12" ht="25.5" outlineLevel="1">
      <c r="A287" s="89">
        <v>22</v>
      </c>
      <c r="B287" s="72">
        <v>35</v>
      </c>
      <c r="C287" s="28" t="s">
        <v>353</v>
      </c>
      <c r="D287" s="240" t="s">
        <v>157</v>
      </c>
      <c r="E287" s="221" t="s">
        <v>665</v>
      </c>
      <c r="F287" s="222" t="s">
        <v>431</v>
      </c>
      <c r="G287" s="223" t="s">
        <v>436</v>
      </c>
      <c r="H287" s="241">
        <v>66.5235</v>
      </c>
      <c r="I287" s="89"/>
      <c r="J287" s="35">
        <f t="shared" si="20"/>
        <v>0</v>
      </c>
      <c r="K287" s="259" t="e">
        <f t="shared" si="21"/>
        <v>#DIV/0!</v>
      </c>
      <c r="L287" s="72"/>
    </row>
    <row r="288" spans="1:12" ht="38.25" outlineLevel="1">
      <c r="A288" s="96"/>
      <c r="B288" s="97">
        <v>1</v>
      </c>
      <c r="C288" s="28" t="s">
        <v>354</v>
      </c>
      <c r="D288" s="29">
        <v>94996</v>
      </c>
      <c r="E288" s="255" t="s">
        <v>664</v>
      </c>
      <c r="F288" s="256" t="s">
        <v>715</v>
      </c>
      <c r="G288" s="257" t="s">
        <v>370</v>
      </c>
      <c r="H288" s="241">
        <v>443.49</v>
      </c>
      <c r="I288" s="98"/>
      <c r="J288" s="30">
        <f t="shared" si="20"/>
        <v>0</v>
      </c>
      <c r="K288" s="258" t="e">
        <f t="shared" si="21"/>
        <v>#DIV/0!</v>
      </c>
      <c r="L288" s="72"/>
    </row>
    <row r="289" spans="1:12" ht="25.5" customHeight="1" outlineLevel="1">
      <c r="A289" s="96"/>
      <c r="B289" s="97">
        <v>1</v>
      </c>
      <c r="C289" s="28" t="s">
        <v>355</v>
      </c>
      <c r="D289" s="29">
        <v>101735</v>
      </c>
      <c r="E289" s="255" t="s">
        <v>664</v>
      </c>
      <c r="F289" s="256" t="s">
        <v>716</v>
      </c>
      <c r="G289" s="257" t="s">
        <v>370</v>
      </c>
      <c r="H289" s="241">
        <v>443.49</v>
      </c>
      <c r="I289" s="98"/>
      <c r="J289" s="30">
        <f t="shared" si="20"/>
        <v>0</v>
      </c>
      <c r="K289" s="258" t="e">
        <f t="shared" si="21"/>
        <v>#DIV/0!</v>
      </c>
      <c r="L289" s="72"/>
    </row>
    <row r="290" spans="1:12" ht="12.75" outlineLevel="1">
      <c r="A290" s="89">
        <v>220</v>
      </c>
      <c r="B290" s="72">
        <v>35</v>
      </c>
      <c r="C290" s="28" t="s">
        <v>356</v>
      </c>
      <c r="D290" s="9" t="s">
        <v>498</v>
      </c>
      <c r="E290" s="221" t="s">
        <v>666</v>
      </c>
      <c r="F290" s="222" t="s">
        <v>706</v>
      </c>
      <c r="G290" s="223" t="s">
        <v>19</v>
      </c>
      <c r="H290" s="241">
        <v>148</v>
      </c>
      <c r="I290" s="89"/>
      <c r="J290" s="35">
        <f t="shared" si="20"/>
        <v>0</v>
      </c>
      <c r="K290" s="259" t="e">
        <f t="shared" si="21"/>
        <v>#DIV/0!</v>
      </c>
      <c r="L290" s="33"/>
    </row>
    <row r="291" spans="1:12" ht="12.75" outlineLevel="1">
      <c r="A291" s="89"/>
      <c r="B291" s="72">
        <v>35</v>
      </c>
      <c r="C291" s="28" t="s">
        <v>357</v>
      </c>
      <c r="D291" s="9" t="s">
        <v>499</v>
      </c>
      <c r="E291" s="221" t="s">
        <v>666</v>
      </c>
      <c r="F291" s="222" t="s">
        <v>707</v>
      </c>
      <c r="G291" s="223" t="s">
        <v>708</v>
      </c>
      <c r="H291" s="241">
        <v>14800</v>
      </c>
      <c r="I291" s="89"/>
      <c r="J291" s="35">
        <f t="shared" si="20"/>
        <v>0</v>
      </c>
      <c r="K291" s="259" t="e">
        <f t="shared" si="21"/>
        <v>#DIV/0!</v>
      </c>
      <c r="L291" s="109"/>
    </row>
    <row r="292" spans="1:12" ht="12.75" outlineLevel="1">
      <c r="A292" s="88"/>
      <c r="C292" s="253" t="s">
        <v>305</v>
      </c>
      <c r="D292" s="254"/>
      <c r="E292" s="232"/>
      <c r="F292" s="233" t="s">
        <v>529</v>
      </c>
      <c r="G292" s="234">
        <f>ROUND(SUM(J293:J348),2)</f>
        <v>0</v>
      </c>
      <c r="H292" s="234"/>
      <c r="I292" s="88"/>
      <c r="J292" s="234"/>
      <c r="K292" s="235" t="e">
        <f>G292/$I$394</f>
        <v>#DIV/0!</v>
      </c>
      <c r="L292" s="72"/>
    </row>
    <row r="293" spans="1:12" ht="12.75" outlineLevel="1">
      <c r="A293" s="106">
        <v>2312</v>
      </c>
      <c r="B293" s="107">
        <f>5.6+1.5+1.5+2.4+2.4+6+2.4+2.4</f>
        <v>24.199999999999996</v>
      </c>
      <c r="C293" s="25" t="s">
        <v>306</v>
      </c>
      <c r="D293" s="48" t="s">
        <v>615</v>
      </c>
      <c r="E293" s="272" t="s">
        <v>666</v>
      </c>
      <c r="F293" s="273" t="s">
        <v>717</v>
      </c>
      <c r="G293" s="274" t="s">
        <v>23</v>
      </c>
      <c r="H293" s="275">
        <v>1</v>
      </c>
      <c r="I293" s="108"/>
      <c r="J293" s="27">
        <f aca="true" t="shared" si="22" ref="J293:J324">ROUND(_xlfn.IFERROR(H293*I293," - "),2)</f>
        <v>0</v>
      </c>
      <c r="K293" s="276" t="e">
        <f aca="true" t="shared" si="23" ref="K293:K324">J293/$I$394</f>
        <v>#DIV/0!</v>
      </c>
      <c r="L293" s="72"/>
    </row>
    <row r="294" spans="1:12" ht="25.5" customHeight="1" outlineLevel="1">
      <c r="A294" s="96"/>
      <c r="B294" s="97">
        <f>ROUND((46.28+133.21+32.62+31.2+37.01+40.46+9.46+113.06+9.59+12.34+2.67+7.15+1.32+27.05)*0.1,2)+ROUND((286.75-64*2-25.1)*0.1,2)</f>
        <v>63.71</v>
      </c>
      <c r="C294" s="28" t="s">
        <v>307</v>
      </c>
      <c r="D294" s="29">
        <v>90371</v>
      </c>
      <c r="E294" s="255" t="s">
        <v>664</v>
      </c>
      <c r="F294" s="256" t="s">
        <v>718</v>
      </c>
      <c r="G294" s="257" t="s">
        <v>23</v>
      </c>
      <c r="H294" s="241">
        <v>2</v>
      </c>
      <c r="I294" s="98"/>
      <c r="J294" s="30">
        <f t="shared" si="22"/>
        <v>0</v>
      </c>
      <c r="K294" s="258" t="e">
        <f t="shared" si="23"/>
        <v>#DIV/0!</v>
      </c>
      <c r="L294" s="72"/>
    </row>
    <row r="295" spans="1:12" ht="25.5" customHeight="1" outlineLevel="1">
      <c r="A295" s="96"/>
      <c r="B295" s="97">
        <v>336.81</v>
      </c>
      <c r="C295" s="28" t="s">
        <v>308</v>
      </c>
      <c r="D295" s="29" t="s">
        <v>143</v>
      </c>
      <c r="E295" s="255" t="s">
        <v>665</v>
      </c>
      <c r="F295" s="256" t="s">
        <v>719</v>
      </c>
      <c r="G295" s="257" t="s">
        <v>23</v>
      </c>
      <c r="H295" s="241">
        <v>2</v>
      </c>
      <c r="I295" s="98"/>
      <c r="J295" s="30">
        <f t="shared" si="22"/>
        <v>0</v>
      </c>
      <c r="K295" s="258" t="e">
        <f t="shared" si="23"/>
        <v>#DIV/0!</v>
      </c>
      <c r="L295" s="72"/>
    </row>
    <row r="296" spans="1:12" ht="25.5" customHeight="1" outlineLevel="1">
      <c r="A296" s="96"/>
      <c r="B296" s="97">
        <v>1</v>
      </c>
      <c r="C296" s="28" t="s">
        <v>309</v>
      </c>
      <c r="D296" s="29">
        <v>91185</v>
      </c>
      <c r="E296" s="255" t="s">
        <v>664</v>
      </c>
      <c r="F296" s="256" t="s">
        <v>720</v>
      </c>
      <c r="G296" s="257" t="s">
        <v>19</v>
      </c>
      <c r="H296" s="241">
        <v>2</v>
      </c>
      <c r="I296" s="98"/>
      <c r="J296" s="30">
        <f t="shared" si="22"/>
        <v>0</v>
      </c>
      <c r="K296" s="258" t="e">
        <f t="shared" si="23"/>
        <v>#DIV/0!</v>
      </c>
      <c r="L296" s="72"/>
    </row>
    <row r="297" spans="1:12" ht="51" outlineLevel="1">
      <c r="A297" s="96"/>
      <c r="B297" s="97">
        <v>1</v>
      </c>
      <c r="C297" s="28" t="s">
        <v>566</v>
      </c>
      <c r="D297" s="29">
        <v>91784</v>
      </c>
      <c r="E297" s="255" t="s">
        <v>664</v>
      </c>
      <c r="F297" s="256" t="s">
        <v>721</v>
      </c>
      <c r="G297" s="257" t="s">
        <v>19</v>
      </c>
      <c r="H297" s="241">
        <v>5</v>
      </c>
      <c r="I297" s="98"/>
      <c r="J297" s="30">
        <f t="shared" si="22"/>
        <v>0</v>
      </c>
      <c r="K297" s="258" t="e">
        <f t="shared" si="23"/>
        <v>#DIV/0!</v>
      </c>
      <c r="L297" s="72"/>
    </row>
    <row r="298" spans="1:12" ht="51" outlineLevel="1">
      <c r="A298" s="96"/>
      <c r="B298" s="97">
        <v>1</v>
      </c>
      <c r="C298" s="28" t="s">
        <v>567</v>
      </c>
      <c r="D298" s="29">
        <v>91785</v>
      </c>
      <c r="E298" s="255" t="s">
        <v>664</v>
      </c>
      <c r="F298" s="256" t="s">
        <v>722</v>
      </c>
      <c r="G298" s="257" t="s">
        <v>19</v>
      </c>
      <c r="H298" s="241">
        <v>25.380000000000003</v>
      </c>
      <c r="I298" s="98"/>
      <c r="J298" s="30">
        <f t="shared" si="22"/>
        <v>0</v>
      </c>
      <c r="K298" s="258" t="e">
        <f t="shared" si="23"/>
        <v>#DIV/0!</v>
      </c>
      <c r="L298" s="72"/>
    </row>
    <row r="299" spans="1:12" ht="51" outlineLevel="1">
      <c r="A299" s="96"/>
      <c r="B299" s="97">
        <f aca="true" t="shared" si="24" ref="B299:B316">9*5</f>
        <v>45</v>
      </c>
      <c r="C299" s="28" t="s">
        <v>568</v>
      </c>
      <c r="D299" s="29">
        <v>91786</v>
      </c>
      <c r="E299" s="255" t="s">
        <v>664</v>
      </c>
      <c r="F299" s="256" t="s">
        <v>723</v>
      </c>
      <c r="G299" s="257" t="s">
        <v>19</v>
      </c>
      <c r="H299" s="241">
        <v>101.9</v>
      </c>
      <c r="I299" s="98"/>
      <c r="J299" s="30">
        <f t="shared" si="22"/>
        <v>0</v>
      </c>
      <c r="K299" s="258" t="e">
        <f t="shared" si="23"/>
        <v>#DIV/0!</v>
      </c>
      <c r="L299" s="72"/>
    </row>
    <row r="300" spans="1:12" ht="45" customHeight="1" outlineLevel="1">
      <c r="A300" s="96"/>
      <c r="B300" s="97">
        <f t="shared" si="24"/>
        <v>45</v>
      </c>
      <c r="C300" s="28" t="s">
        <v>569</v>
      </c>
      <c r="D300" s="29">
        <v>91787</v>
      </c>
      <c r="E300" s="255" t="s">
        <v>664</v>
      </c>
      <c r="F300" s="256" t="s">
        <v>724</v>
      </c>
      <c r="G300" s="257" t="s">
        <v>19</v>
      </c>
      <c r="H300" s="241">
        <v>6.62</v>
      </c>
      <c r="I300" s="98"/>
      <c r="J300" s="30">
        <f t="shared" si="22"/>
        <v>0</v>
      </c>
      <c r="K300" s="258" t="e">
        <f t="shared" si="23"/>
        <v>#DIV/0!</v>
      </c>
      <c r="L300" s="72"/>
    </row>
    <row r="301" spans="1:12" ht="63.75" outlineLevel="1">
      <c r="A301" s="96"/>
      <c r="B301" s="97">
        <f t="shared" si="24"/>
        <v>45</v>
      </c>
      <c r="C301" s="28" t="s">
        <v>570</v>
      </c>
      <c r="D301" s="29">
        <v>91794</v>
      </c>
      <c r="E301" s="255" t="s">
        <v>664</v>
      </c>
      <c r="F301" s="256" t="s">
        <v>725</v>
      </c>
      <c r="G301" s="257" t="s">
        <v>19</v>
      </c>
      <c r="H301" s="241">
        <v>12.54</v>
      </c>
      <c r="I301" s="98"/>
      <c r="J301" s="30">
        <f t="shared" si="22"/>
        <v>0</v>
      </c>
      <c r="K301" s="258" t="e">
        <f t="shared" si="23"/>
        <v>#DIV/0!</v>
      </c>
      <c r="L301" s="72"/>
    </row>
    <row r="302" spans="1:12" ht="12.75" outlineLevel="1">
      <c r="A302" s="96"/>
      <c r="B302" s="97">
        <f t="shared" si="24"/>
        <v>45</v>
      </c>
      <c r="C302" s="28" t="s">
        <v>571</v>
      </c>
      <c r="D302" s="29" t="s">
        <v>482</v>
      </c>
      <c r="E302" s="255" t="s">
        <v>666</v>
      </c>
      <c r="F302" s="256" t="s">
        <v>680</v>
      </c>
      <c r="G302" s="257" t="s">
        <v>23</v>
      </c>
      <c r="H302" s="241">
        <v>4</v>
      </c>
      <c r="I302" s="98"/>
      <c r="J302" s="30">
        <f t="shared" si="22"/>
        <v>0</v>
      </c>
      <c r="K302" s="258" t="e">
        <f t="shared" si="23"/>
        <v>#DIV/0!</v>
      </c>
      <c r="L302" s="72"/>
    </row>
    <row r="303" spans="1:12" ht="25.5" customHeight="1" outlineLevel="1">
      <c r="A303" s="96"/>
      <c r="B303" s="97">
        <f t="shared" si="24"/>
        <v>45</v>
      </c>
      <c r="C303" s="28" t="s">
        <v>572</v>
      </c>
      <c r="D303" s="29" t="s">
        <v>146</v>
      </c>
      <c r="E303" s="255" t="s">
        <v>665</v>
      </c>
      <c r="F303" s="256" t="s">
        <v>726</v>
      </c>
      <c r="G303" s="257" t="s">
        <v>23</v>
      </c>
      <c r="H303" s="241">
        <v>6</v>
      </c>
      <c r="I303" s="98"/>
      <c r="J303" s="30">
        <f t="shared" si="22"/>
        <v>0</v>
      </c>
      <c r="K303" s="258" t="e">
        <f t="shared" si="23"/>
        <v>#DIV/0!</v>
      </c>
      <c r="L303" s="72"/>
    </row>
    <row r="304" spans="1:12" ht="12.75" outlineLevel="1">
      <c r="A304" s="96"/>
      <c r="B304" s="97">
        <f t="shared" si="24"/>
        <v>45</v>
      </c>
      <c r="C304" s="28" t="s">
        <v>573</v>
      </c>
      <c r="D304" s="29" t="s">
        <v>663</v>
      </c>
      <c r="E304" s="255" t="s">
        <v>665</v>
      </c>
      <c r="F304" s="256" t="s">
        <v>727</v>
      </c>
      <c r="G304" s="257" t="s">
        <v>19</v>
      </c>
      <c r="H304" s="241">
        <v>48</v>
      </c>
      <c r="I304" s="98"/>
      <c r="J304" s="30">
        <f t="shared" si="22"/>
        <v>0</v>
      </c>
      <c r="K304" s="258" t="e">
        <f t="shared" si="23"/>
        <v>#DIV/0!</v>
      </c>
      <c r="L304" s="72"/>
    </row>
    <row r="305" spans="1:12" ht="25.5" customHeight="1" outlineLevel="1">
      <c r="A305" s="96"/>
      <c r="B305" s="97">
        <f t="shared" si="24"/>
        <v>45</v>
      </c>
      <c r="C305" s="28" t="s">
        <v>574</v>
      </c>
      <c r="D305" s="29" t="s">
        <v>51</v>
      </c>
      <c r="E305" s="255" t="s">
        <v>665</v>
      </c>
      <c r="F305" s="256" t="s">
        <v>368</v>
      </c>
      <c r="G305" s="257" t="s">
        <v>436</v>
      </c>
      <c r="H305" s="241">
        <v>10.29</v>
      </c>
      <c r="I305" s="98"/>
      <c r="J305" s="30">
        <f t="shared" si="22"/>
        <v>0</v>
      </c>
      <c r="K305" s="258" t="e">
        <f t="shared" si="23"/>
        <v>#DIV/0!</v>
      </c>
      <c r="L305" s="72"/>
    </row>
    <row r="306" spans="1:12" ht="12.75" outlineLevel="1">
      <c r="A306" s="96"/>
      <c r="B306" s="97">
        <f t="shared" si="24"/>
        <v>45</v>
      </c>
      <c r="C306" s="28" t="s">
        <v>575</v>
      </c>
      <c r="D306" s="29">
        <v>20210</v>
      </c>
      <c r="E306" s="255" t="s">
        <v>479</v>
      </c>
      <c r="F306" s="256" t="s">
        <v>369</v>
      </c>
      <c r="G306" s="257" t="s">
        <v>370</v>
      </c>
      <c r="H306" s="241">
        <v>39.39</v>
      </c>
      <c r="I306" s="98"/>
      <c r="J306" s="30">
        <f t="shared" si="22"/>
        <v>0</v>
      </c>
      <c r="K306" s="258" t="e">
        <f t="shared" si="23"/>
        <v>#DIV/0!</v>
      </c>
      <c r="L306" s="72"/>
    </row>
    <row r="307" spans="1:12" ht="12.75" outlineLevel="1">
      <c r="A307" s="96"/>
      <c r="B307" s="97">
        <f t="shared" si="24"/>
        <v>45</v>
      </c>
      <c r="C307" s="28" t="s">
        <v>576</v>
      </c>
      <c r="D307" s="29" t="s">
        <v>638</v>
      </c>
      <c r="E307" s="255" t="s">
        <v>666</v>
      </c>
      <c r="F307" s="256" t="s">
        <v>728</v>
      </c>
      <c r="G307" s="257" t="s">
        <v>370</v>
      </c>
      <c r="H307" s="241">
        <v>0.37</v>
      </c>
      <c r="I307" s="98"/>
      <c r="J307" s="30">
        <f t="shared" si="22"/>
        <v>0</v>
      </c>
      <c r="K307" s="258" t="e">
        <f t="shared" si="23"/>
        <v>#DIV/0!</v>
      </c>
      <c r="L307" s="72"/>
    </row>
    <row r="308" spans="1:12" ht="12.75" outlineLevel="1">
      <c r="A308" s="96"/>
      <c r="B308" s="97">
        <f t="shared" si="24"/>
        <v>45</v>
      </c>
      <c r="C308" s="28" t="s">
        <v>616</v>
      </c>
      <c r="D308" s="29" t="s">
        <v>68</v>
      </c>
      <c r="E308" s="255" t="s">
        <v>665</v>
      </c>
      <c r="F308" s="256" t="s">
        <v>672</v>
      </c>
      <c r="G308" s="257" t="s">
        <v>370</v>
      </c>
      <c r="H308" s="241">
        <v>47.15</v>
      </c>
      <c r="I308" s="98"/>
      <c r="J308" s="30">
        <f t="shared" si="22"/>
        <v>0</v>
      </c>
      <c r="K308" s="258" t="e">
        <f t="shared" si="23"/>
        <v>#DIV/0!</v>
      </c>
      <c r="L308" s="72"/>
    </row>
    <row r="309" spans="1:12" ht="12.75" outlineLevel="1">
      <c r="A309" s="96"/>
      <c r="B309" s="97">
        <f t="shared" si="24"/>
        <v>45</v>
      </c>
      <c r="C309" s="28" t="s">
        <v>617</v>
      </c>
      <c r="D309" s="29" t="s">
        <v>69</v>
      </c>
      <c r="E309" s="255" t="s">
        <v>665</v>
      </c>
      <c r="F309" s="256" t="s">
        <v>372</v>
      </c>
      <c r="G309" s="257" t="s">
        <v>60</v>
      </c>
      <c r="H309" s="241">
        <v>593.65</v>
      </c>
      <c r="I309" s="98"/>
      <c r="J309" s="30">
        <f t="shared" si="22"/>
        <v>0</v>
      </c>
      <c r="K309" s="258" t="e">
        <f t="shared" si="23"/>
        <v>#DIV/0!</v>
      </c>
      <c r="L309" s="72"/>
    </row>
    <row r="310" spans="1:12" ht="12.75" outlineLevel="1">
      <c r="A310" s="96"/>
      <c r="B310" s="97">
        <f t="shared" si="24"/>
        <v>45</v>
      </c>
      <c r="C310" s="28" t="s">
        <v>618</v>
      </c>
      <c r="D310" s="29" t="s">
        <v>71</v>
      </c>
      <c r="E310" s="255" t="s">
        <v>665</v>
      </c>
      <c r="F310" s="256" t="s">
        <v>729</v>
      </c>
      <c r="G310" s="257" t="s">
        <v>436</v>
      </c>
      <c r="H310" s="241">
        <v>4.33</v>
      </c>
      <c r="I310" s="98"/>
      <c r="J310" s="30">
        <f t="shared" si="22"/>
        <v>0</v>
      </c>
      <c r="K310" s="258" t="e">
        <f t="shared" si="23"/>
        <v>#DIV/0!</v>
      </c>
      <c r="L310" s="72"/>
    </row>
    <row r="311" spans="1:12" ht="25.5" customHeight="1" outlineLevel="1">
      <c r="A311" s="96"/>
      <c r="B311" s="97">
        <f t="shared" si="24"/>
        <v>45</v>
      </c>
      <c r="C311" s="28" t="s">
        <v>619</v>
      </c>
      <c r="D311" s="29" t="s">
        <v>73</v>
      </c>
      <c r="E311" s="255" t="s">
        <v>665</v>
      </c>
      <c r="F311" s="256" t="s">
        <v>374</v>
      </c>
      <c r="G311" s="257" t="s">
        <v>436</v>
      </c>
      <c r="H311" s="241">
        <v>4.33</v>
      </c>
      <c r="I311" s="98"/>
      <c r="J311" s="30">
        <f t="shared" si="22"/>
        <v>0</v>
      </c>
      <c r="K311" s="258" t="e">
        <f t="shared" si="23"/>
        <v>#DIV/0!</v>
      </c>
      <c r="L311" s="72"/>
    </row>
    <row r="312" spans="1:12" ht="25.5" customHeight="1" outlineLevel="1">
      <c r="A312" s="96"/>
      <c r="B312" s="97">
        <f t="shared" si="24"/>
        <v>45</v>
      </c>
      <c r="C312" s="28" t="s">
        <v>620</v>
      </c>
      <c r="D312" s="29" t="s">
        <v>97</v>
      </c>
      <c r="E312" s="255" t="s">
        <v>665</v>
      </c>
      <c r="F312" s="256" t="s">
        <v>674</v>
      </c>
      <c r="G312" s="257" t="s">
        <v>370</v>
      </c>
      <c r="H312" s="241">
        <v>17.64</v>
      </c>
      <c r="I312" s="98"/>
      <c r="J312" s="30">
        <f t="shared" si="22"/>
        <v>0</v>
      </c>
      <c r="K312" s="258" t="e">
        <f t="shared" si="23"/>
        <v>#DIV/0!</v>
      </c>
      <c r="L312" s="72"/>
    </row>
    <row r="313" spans="1:12" ht="12.75" outlineLevel="1">
      <c r="A313" s="96"/>
      <c r="B313" s="97">
        <f t="shared" si="24"/>
        <v>45</v>
      </c>
      <c r="C313" s="28" t="s">
        <v>621</v>
      </c>
      <c r="D313" s="29" t="s">
        <v>62</v>
      </c>
      <c r="E313" s="255" t="s">
        <v>665</v>
      </c>
      <c r="F313" s="256" t="s">
        <v>375</v>
      </c>
      <c r="G313" s="257" t="s">
        <v>436</v>
      </c>
      <c r="H313" s="241">
        <v>2.21</v>
      </c>
      <c r="I313" s="98"/>
      <c r="J313" s="30">
        <f t="shared" si="22"/>
        <v>0</v>
      </c>
      <c r="K313" s="258" t="e">
        <f t="shared" si="23"/>
        <v>#DIV/0!</v>
      </c>
      <c r="L313" s="72"/>
    </row>
    <row r="314" spans="1:12" ht="12.75" outlineLevel="1">
      <c r="A314" s="96"/>
      <c r="B314" s="97">
        <f t="shared" si="24"/>
        <v>45</v>
      </c>
      <c r="C314" s="28" t="s">
        <v>622</v>
      </c>
      <c r="D314" s="29" t="s">
        <v>64</v>
      </c>
      <c r="E314" s="255" t="s">
        <v>665</v>
      </c>
      <c r="F314" s="256" t="s">
        <v>430</v>
      </c>
      <c r="G314" s="257" t="s">
        <v>436</v>
      </c>
      <c r="H314" s="241">
        <v>2.21</v>
      </c>
      <c r="I314" s="98"/>
      <c r="J314" s="30">
        <f t="shared" si="22"/>
        <v>0</v>
      </c>
      <c r="K314" s="258" t="e">
        <f t="shared" si="23"/>
        <v>#DIV/0!</v>
      </c>
      <c r="L314" s="72"/>
    </row>
    <row r="315" spans="1:12" ht="12.75" outlineLevel="1">
      <c r="A315" s="96"/>
      <c r="B315" s="97">
        <f t="shared" si="24"/>
        <v>45</v>
      </c>
      <c r="C315" s="28" t="s">
        <v>623</v>
      </c>
      <c r="D315" s="29">
        <v>10310</v>
      </c>
      <c r="E315" s="255" t="s">
        <v>479</v>
      </c>
      <c r="F315" s="256" t="s">
        <v>700</v>
      </c>
      <c r="G315" s="257" t="s">
        <v>701</v>
      </c>
      <c r="H315" s="241">
        <v>44.2</v>
      </c>
      <c r="I315" s="98"/>
      <c r="J315" s="30">
        <f t="shared" si="22"/>
        <v>0</v>
      </c>
      <c r="K315" s="258" t="e">
        <f t="shared" si="23"/>
        <v>#DIV/0!</v>
      </c>
      <c r="L315" s="72"/>
    </row>
    <row r="316" spans="1:12" ht="21.75" customHeight="1" outlineLevel="1">
      <c r="A316" s="96"/>
      <c r="B316" s="97">
        <f t="shared" si="24"/>
        <v>45</v>
      </c>
      <c r="C316" s="28" t="s">
        <v>624</v>
      </c>
      <c r="D316" s="29" t="s">
        <v>157</v>
      </c>
      <c r="E316" s="255" t="s">
        <v>665</v>
      </c>
      <c r="F316" s="256" t="s">
        <v>431</v>
      </c>
      <c r="G316" s="257" t="s">
        <v>436</v>
      </c>
      <c r="H316" s="241">
        <v>2.21</v>
      </c>
      <c r="I316" s="98"/>
      <c r="J316" s="30">
        <f t="shared" si="22"/>
        <v>0</v>
      </c>
      <c r="K316" s="258" t="e">
        <f t="shared" si="23"/>
        <v>#DIV/0!</v>
      </c>
      <c r="L316" s="72"/>
    </row>
    <row r="317" spans="1:12" ht="25.5" customHeight="1" outlineLevel="1">
      <c r="A317" s="96"/>
      <c r="B317" s="97">
        <f>ROUND((46.28+133.21+32.62+31.2+37.01+40.46+9.46+113.06+9.59+12.34+2.67+7.15+1.32+27.05)*0.1,2)+ROUND((286.75-64*2-25.1)*0.1,2)</f>
        <v>63.71</v>
      </c>
      <c r="C317" s="28" t="s">
        <v>625</v>
      </c>
      <c r="D317" s="29">
        <v>94996</v>
      </c>
      <c r="E317" s="255" t="s">
        <v>664</v>
      </c>
      <c r="F317" s="256" t="s">
        <v>715</v>
      </c>
      <c r="G317" s="257" t="s">
        <v>370</v>
      </c>
      <c r="H317" s="241">
        <v>31.9</v>
      </c>
      <c r="I317" s="98"/>
      <c r="J317" s="30">
        <f t="shared" si="22"/>
        <v>0</v>
      </c>
      <c r="K317" s="258" t="e">
        <f t="shared" si="23"/>
        <v>#DIV/0!</v>
      </c>
      <c r="L317" s="72"/>
    </row>
    <row r="318" spans="1:12" ht="25.5" customHeight="1" outlineLevel="1">
      <c r="A318" s="96"/>
      <c r="B318" s="97">
        <f>ROUND((46.28+133.21+32.62+31.2+37.01+40.46+9.46+113.06+9.59+12.34+2.67+7.15+1.32+27.05)*0.1,2)+ROUND((286.75-64*2-25.1)*0.1,2)</f>
        <v>63.71</v>
      </c>
      <c r="C318" s="28" t="s">
        <v>626</v>
      </c>
      <c r="D318" s="29" t="s">
        <v>89</v>
      </c>
      <c r="E318" s="255" t="s">
        <v>665</v>
      </c>
      <c r="F318" s="256" t="s">
        <v>450</v>
      </c>
      <c r="G318" s="257" t="s">
        <v>370</v>
      </c>
      <c r="H318" s="241">
        <v>20.5</v>
      </c>
      <c r="I318" s="98"/>
      <c r="J318" s="30">
        <f t="shared" si="22"/>
        <v>0</v>
      </c>
      <c r="K318" s="258" t="e">
        <f t="shared" si="23"/>
        <v>#DIV/0!</v>
      </c>
      <c r="L318" s="72"/>
    </row>
    <row r="319" spans="1:12" ht="12.75" outlineLevel="1">
      <c r="A319" s="96"/>
      <c r="B319" s="97">
        <v>336.81</v>
      </c>
      <c r="C319" s="28" t="s">
        <v>627</v>
      </c>
      <c r="D319" s="29" t="s">
        <v>181</v>
      </c>
      <c r="E319" s="255" t="s">
        <v>665</v>
      </c>
      <c r="F319" s="256" t="s">
        <v>410</v>
      </c>
      <c r="G319" s="257" t="s">
        <v>370</v>
      </c>
      <c r="H319" s="241">
        <v>20.5</v>
      </c>
      <c r="I319" s="98"/>
      <c r="J319" s="30">
        <f t="shared" si="22"/>
        <v>0</v>
      </c>
      <c r="K319" s="258" t="e">
        <f t="shared" si="23"/>
        <v>#DIV/0!</v>
      </c>
      <c r="L319" s="72"/>
    </row>
    <row r="320" spans="1:12" ht="38.25" outlineLevel="1">
      <c r="A320" s="96"/>
      <c r="B320" s="97">
        <v>1</v>
      </c>
      <c r="C320" s="28" t="s">
        <v>628</v>
      </c>
      <c r="D320" s="29">
        <v>94996</v>
      </c>
      <c r="E320" s="255" t="s">
        <v>664</v>
      </c>
      <c r="F320" s="256" t="s">
        <v>715</v>
      </c>
      <c r="G320" s="257" t="s">
        <v>370</v>
      </c>
      <c r="H320" s="241">
        <v>269.99</v>
      </c>
      <c r="I320" s="98"/>
      <c r="J320" s="30">
        <f t="shared" si="22"/>
        <v>0</v>
      </c>
      <c r="K320" s="258" t="e">
        <f t="shared" si="23"/>
        <v>#DIV/0!</v>
      </c>
      <c r="L320" s="72"/>
    </row>
    <row r="321" spans="1:12" ht="12.75" outlineLevel="1">
      <c r="A321" s="96"/>
      <c r="B321" s="97">
        <v>1</v>
      </c>
      <c r="C321" s="28" t="s">
        <v>629</v>
      </c>
      <c r="D321" s="29" t="s">
        <v>639</v>
      </c>
      <c r="E321" s="255" t="s">
        <v>666</v>
      </c>
      <c r="F321" s="256" t="s">
        <v>730</v>
      </c>
      <c r="G321" s="257" t="s">
        <v>19</v>
      </c>
      <c r="H321" s="241">
        <v>38.06</v>
      </c>
      <c r="I321" s="98"/>
      <c r="J321" s="30">
        <f t="shared" si="22"/>
        <v>0</v>
      </c>
      <c r="K321" s="258" t="e">
        <f t="shared" si="23"/>
        <v>#DIV/0!</v>
      </c>
      <c r="L321" s="72"/>
    </row>
    <row r="322" spans="1:12" ht="25.5" customHeight="1" outlineLevel="1">
      <c r="A322" s="96"/>
      <c r="B322" s="97">
        <f>9*5</f>
        <v>45</v>
      </c>
      <c r="C322" s="28" t="s">
        <v>630</v>
      </c>
      <c r="D322" s="29" t="s">
        <v>153</v>
      </c>
      <c r="E322" s="255" t="s">
        <v>665</v>
      </c>
      <c r="F322" s="256" t="s">
        <v>731</v>
      </c>
      <c r="G322" s="257" t="s">
        <v>370</v>
      </c>
      <c r="H322" s="241">
        <v>508.22</v>
      </c>
      <c r="I322" s="98"/>
      <c r="J322" s="30">
        <f t="shared" si="22"/>
        <v>0</v>
      </c>
      <c r="K322" s="258" t="e">
        <f t="shared" si="23"/>
        <v>#DIV/0!</v>
      </c>
      <c r="L322" s="72"/>
    </row>
    <row r="323" spans="1:12" ht="12.75" outlineLevel="1">
      <c r="A323" s="96"/>
      <c r="B323" s="97">
        <v>1</v>
      </c>
      <c r="C323" s="28" t="s">
        <v>631</v>
      </c>
      <c r="D323" s="29" t="s">
        <v>154</v>
      </c>
      <c r="E323" s="255" t="s">
        <v>665</v>
      </c>
      <c r="F323" s="256" t="s">
        <v>732</v>
      </c>
      <c r="G323" s="257" t="s">
        <v>19</v>
      </c>
      <c r="H323" s="241">
        <v>16</v>
      </c>
      <c r="I323" s="98"/>
      <c r="J323" s="30">
        <f t="shared" si="22"/>
        <v>0</v>
      </c>
      <c r="K323" s="258" t="e">
        <f t="shared" si="23"/>
        <v>#DIV/0!</v>
      </c>
      <c r="L323" s="72"/>
    </row>
    <row r="324" spans="1:12" ht="25.5" customHeight="1" outlineLevel="1">
      <c r="A324" s="96"/>
      <c r="B324" s="97">
        <v>1</v>
      </c>
      <c r="C324" s="28" t="s">
        <v>632</v>
      </c>
      <c r="D324" s="29" t="s">
        <v>93</v>
      </c>
      <c r="E324" s="255" t="s">
        <v>665</v>
      </c>
      <c r="F324" s="256" t="s">
        <v>452</v>
      </c>
      <c r="G324" s="257" t="s">
        <v>23</v>
      </c>
      <c r="H324" s="241">
        <v>2</v>
      </c>
      <c r="I324" s="98"/>
      <c r="J324" s="30">
        <f t="shared" si="22"/>
        <v>0</v>
      </c>
      <c r="K324" s="258" t="e">
        <f t="shared" si="23"/>
        <v>#DIV/0!</v>
      </c>
      <c r="L324" s="72"/>
    </row>
    <row r="325" spans="1:12" ht="12.75" outlineLevel="1">
      <c r="A325" s="96"/>
      <c r="B325" s="97">
        <f>9*5</f>
        <v>45</v>
      </c>
      <c r="C325" s="28" t="s">
        <v>633</v>
      </c>
      <c r="D325" s="29" t="s">
        <v>94</v>
      </c>
      <c r="E325" s="255" t="s">
        <v>665</v>
      </c>
      <c r="F325" s="256" t="s">
        <v>453</v>
      </c>
      <c r="G325" s="257" t="s">
        <v>23</v>
      </c>
      <c r="H325" s="241">
        <v>2</v>
      </c>
      <c r="I325" s="98"/>
      <c r="J325" s="30">
        <f aca="true" t="shared" si="25" ref="J325:J348">ROUND(_xlfn.IFERROR(H325*I325," - "),2)</f>
        <v>0</v>
      </c>
      <c r="K325" s="258" t="e">
        <f aca="true" t="shared" si="26" ref="K325:K348">J325/$I$394</f>
        <v>#DIV/0!</v>
      </c>
      <c r="L325" s="72"/>
    </row>
    <row r="326" spans="1:12" ht="25.5" customHeight="1" outlineLevel="1">
      <c r="A326" s="96"/>
      <c r="B326" s="97">
        <v>1</v>
      </c>
      <c r="C326" s="28" t="s">
        <v>634</v>
      </c>
      <c r="D326" s="29" t="s">
        <v>95</v>
      </c>
      <c r="E326" s="255" t="s">
        <v>665</v>
      </c>
      <c r="F326" s="256" t="s">
        <v>454</v>
      </c>
      <c r="G326" s="257" t="s">
        <v>23</v>
      </c>
      <c r="H326" s="241">
        <v>1</v>
      </c>
      <c r="I326" s="98"/>
      <c r="J326" s="30">
        <f t="shared" si="25"/>
        <v>0</v>
      </c>
      <c r="K326" s="258" t="e">
        <f t="shared" si="26"/>
        <v>#DIV/0!</v>
      </c>
      <c r="L326" s="72"/>
    </row>
    <row r="327" spans="1:12" ht="12.75" outlineLevel="1">
      <c r="A327" s="96"/>
      <c r="B327" s="97">
        <f aca="true" t="shared" si="27" ref="B327:B335">9*5</f>
        <v>45</v>
      </c>
      <c r="C327" s="28" t="s">
        <v>635</v>
      </c>
      <c r="D327" s="29" t="s">
        <v>640</v>
      </c>
      <c r="E327" s="255" t="s">
        <v>666</v>
      </c>
      <c r="F327" s="256" t="s">
        <v>733</v>
      </c>
      <c r="G327" s="257" t="s">
        <v>23</v>
      </c>
      <c r="H327" s="241">
        <v>4</v>
      </c>
      <c r="I327" s="98"/>
      <c r="J327" s="30">
        <f t="shared" si="25"/>
        <v>0</v>
      </c>
      <c r="K327" s="258" t="e">
        <f t="shared" si="26"/>
        <v>#DIV/0!</v>
      </c>
      <c r="L327" s="72"/>
    </row>
    <row r="328" spans="1:12" ht="12.75" outlineLevel="1">
      <c r="A328" s="96"/>
      <c r="B328" s="97">
        <f t="shared" si="27"/>
        <v>45</v>
      </c>
      <c r="C328" s="28" t="s">
        <v>636</v>
      </c>
      <c r="D328" s="29" t="s">
        <v>524</v>
      </c>
      <c r="E328" s="255" t="s">
        <v>666</v>
      </c>
      <c r="F328" s="256" t="s">
        <v>734</v>
      </c>
      <c r="G328" s="257" t="s">
        <v>19</v>
      </c>
      <c r="H328" s="241">
        <v>63.51</v>
      </c>
      <c r="I328" s="98"/>
      <c r="J328" s="30">
        <f t="shared" si="25"/>
        <v>0</v>
      </c>
      <c r="K328" s="258" t="e">
        <f t="shared" si="26"/>
        <v>#DIV/0!</v>
      </c>
      <c r="L328" s="72"/>
    </row>
    <row r="329" spans="1:12" ht="25.5" customHeight="1" outlineLevel="1">
      <c r="A329" s="96"/>
      <c r="B329" s="97">
        <f t="shared" si="27"/>
        <v>45</v>
      </c>
      <c r="C329" s="28" t="s">
        <v>637</v>
      </c>
      <c r="D329" s="29">
        <v>170132</v>
      </c>
      <c r="E329" s="255" t="s">
        <v>479</v>
      </c>
      <c r="F329" s="256" t="s">
        <v>735</v>
      </c>
      <c r="G329" s="257" t="s">
        <v>19</v>
      </c>
      <c r="H329" s="241">
        <v>191.88</v>
      </c>
      <c r="I329" s="98"/>
      <c r="J329" s="30">
        <f t="shared" si="25"/>
        <v>0</v>
      </c>
      <c r="K329" s="258" t="e">
        <f t="shared" si="26"/>
        <v>#DIV/0!</v>
      </c>
      <c r="L329" s="72"/>
    </row>
    <row r="330" spans="1:12" ht="12.75" outlineLevel="1">
      <c r="A330" s="96"/>
      <c r="B330" s="97">
        <f t="shared" si="27"/>
        <v>45</v>
      </c>
      <c r="C330" s="28" t="s">
        <v>644</v>
      </c>
      <c r="D330" s="240" t="s">
        <v>80</v>
      </c>
      <c r="E330" s="255" t="s">
        <v>665</v>
      </c>
      <c r="F330" s="256" t="s">
        <v>81</v>
      </c>
      <c r="G330" s="257" t="s">
        <v>370</v>
      </c>
      <c r="H330" s="241">
        <v>23.03</v>
      </c>
      <c r="I330" s="98"/>
      <c r="J330" s="30">
        <f t="shared" si="25"/>
        <v>0</v>
      </c>
      <c r="K330" s="258" t="e">
        <f t="shared" si="26"/>
        <v>#DIV/0!</v>
      </c>
      <c r="L330" s="72"/>
    </row>
    <row r="331" spans="1:12" ht="12.75" outlineLevel="1">
      <c r="A331" s="96"/>
      <c r="B331" s="97">
        <f t="shared" si="27"/>
        <v>45</v>
      </c>
      <c r="C331" s="28" t="s">
        <v>645</v>
      </c>
      <c r="D331" s="267" t="s">
        <v>82</v>
      </c>
      <c r="E331" s="255" t="s">
        <v>665</v>
      </c>
      <c r="F331" s="256" t="s">
        <v>381</v>
      </c>
      <c r="G331" s="257" t="s">
        <v>370</v>
      </c>
      <c r="H331" s="241">
        <v>23.03</v>
      </c>
      <c r="I331" s="98"/>
      <c r="J331" s="30">
        <f t="shared" si="25"/>
        <v>0</v>
      </c>
      <c r="K331" s="258" t="e">
        <f t="shared" si="26"/>
        <v>#DIV/0!</v>
      </c>
      <c r="L331" s="72"/>
    </row>
    <row r="332" spans="1:12" ht="25.5" customHeight="1" outlineLevel="1">
      <c r="A332" s="96"/>
      <c r="B332" s="97">
        <f t="shared" si="27"/>
        <v>45</v>
      </c>
      <c r="C332" s="28" t="s">
        <v>646</v>
      </c>
      <c r="D332" s="240">
        <v>88487</v>
      </c>
      <c r="E332" s="255" t="s">
        <v>664</v>
      </c>
      <c r="F332" s="256" t="s">
        <v>736</v>
      </c>
      <c r="G332" s="257" t="s">
        <v>370</v>
      </c>
      <c r="H332" s="241">
        <v>23.03</v>
      </c>
      <c r="I332" s="98"/>
      <c r="J332" s="30">
        <f t="shared" si="25"/>
        <v>0</v>
      </c>
      <c r="K332" s="258" t="e">
        <f t="shared" si="26"/>
        <v>#DIV/0!</v>
      </c>
      <c r="L332" s="72"/>
    </row>
    <row r="333" spans="1:12" ht="25.5" customHeight="1" outlineLevel="1">
      <c r="A333" s="96"/>
      <c r="B333" s="97">
        <f t="shared" si="27"/>
        <v>45</v>
      </c>
      <c r="C333" s="28" t="s">
        <v>647</v>
      </c>
      <c r="D333" s="29" t="s">
        <v>641</v>
      </c>
      <c r="E333" s="255" t="s">
        <v>666</v>
      </c>
      <c r="F333" s="256" t="s">
        <v>737</v>
      </c>
      <c r="G333" s="257" t="s">
        <v>19</v>
      </c>
      <c r="H333" s="241">
        <v>65.06</v>
      </c>
      <c r="I333" s="98"/>
      <c r="J333" s="30">
        <f t="shared" si="25"/>
        <v>0</v>
      </c>
      <c r="K333" s="258" t="e">
        <f t="shared" si="26"/>
        <v>#DIV/0!</v>
      </c>
      <c r="L333" s="72"/>
    </row>
    <row r="334" spans="1:12" ht="25.5" customHeight="1" outlineLevel="1">
      <c r="A334" s="96"/>
      <c r="B334" s="97">
        <f t="shared" si="27"/>
        <v>45</v>
      </c>
      <c r="C334" s="28" t="s">
        <v>648</v>
      </c>
      <c r="D334" s="29" t="s">
        <v>642</v>
      </c>
      <c r="E334" s="255" t="s">
        <v>666</v>
      </c>
      <c r="F334" s="256" t="s">
        <v>738</v>
      </c>
      <c r="G334" s="257" t="s">
        <v>19</v>
      </c>
      <c r="H334" s="241">
        <v>65.06</v>
      </c>
      <c r="I334" s="98"/>
      <c r="J334" s="30">
        <f t="shared" si="25"/>
        <v>0</v>
      </c>
      <c r="K334" s="258" t="e">
        <f t="shared" si="26"/>
        <v>#DIV/0!</v>
      </c>
      <c r="L334" s="72"/>
    </row>
    <row r="335" spans="1:12" ht="25.5" customHeight="1" outlineLevel="1">
      <c r="A335" s="96"/>
      <c r="B335" s="97">
        <f t="shared" si="27"/>
        <v>45</v>
      </c>
      <c r="C335" s="28" t="s">
        <v>649</v>
      </c>
      <c r="D335" s="29" t="s">
        <v>643</v>
      </c>
      <c r="E335" s="255" t="s">
        <v>666</v>
      </c>
      <c r="F335" s="256" t="s">
        <v>739</v>
      </c>
      <c r="G335" s="257" t="s">
        <v>23</v>
      </c>
      <c r="H335" s="241">
        <v>6</v>
      </c>
      <c r="I335" s="98"/>
      <c r="J335" s="30">
        <f t="shared" si="25"/>
        <v>0</v>
      </c>
      <c r="K335" s="258" t="e">
        <f t="shared" si="26"/>
        <v>#DIV/0!</v>
      </c>
      <c r="L335" s="72"/>
    </row>
    <row r="336" spans="1:12" ht="12.75" outlineLevel="1">
      <c r="A336" s="96"/>
      <c r="B336" s="97">
        <f>5.6+1.5+1.5+2.4+2.4+6+2.4+2.4</f>
        <v>24.199999999999996</v>
      </c>
      <c r="C336" s="28" t="s">
        <v>650</v>
      </c>
      <c r="D336" s="29">
        <v>130247</v>
      </c>
      <c r="E336" s="255" t="s">
        <v>479</v>
      </c>
      <c r="F336" s="256" t="s">
        <v>740</v>
      </c>
      <c r="G336" s="257" t="s">
        <v>370</v>
      </c>
      <c r="H336" s="241">
        <v>24.2</v>
      </c>
      <c r="I336" s="98"/>
      <c r="J336" s="30">
        <f t="shared" si="25"/>
        <v>0</v>
      </c>
      <c r="K336" s="258" t="e">
        <f t="shared" si="26"/>
        <v>#DIV/0!</v>
      </c>
      <c r="L336" s="72"/>
    </row>
    <row r="337" spans="1:12" ht="25.5" customHeight="1" outlineLevel="1">
      <c r="A337" s="96"/>
      <c r="B337" s="97">
        <f>ROUND((46.28+133.21+32.62+31.2+37.01+40.46+9.46+113.06+9.59+12.34+2.67+7.15+1.32+27.05)*0.1,2)+ROUND((286.75-64*2-25.1)*0.1,2)</f>
        <v>63.71</v>
      </c>
      <c r="C337" s="28" t="s">
        <v>651</v>
      </c>
      <c r="D337" s="29" t="s">
        <v>175</v>
      </c>
      <c r="E337" s="255" t="s">
        <v>665</v>
      </c>
      <c r="F337" s="256" t="s">
        <v>741</v>
      </c>
      <c r="G337" s="257" t="s">
        <v>23</v>
      </c>
      <c r="H337" s="241">
        <v>2</v>
      </c>
      <c r="I337" s="98"/>
      <c r="J337" s="30">
        <f t="shared" si="25"/>
        <v>0</v>
      </c>
      <c r="K337" s="258" t="e">
        <f t="shared" si="26"/>
        <v>#DIV/0!</v>
      </c>
      <c r="L337" s="72"/>
    </row>
    <row r="338" spans="1:12" ht="25.5" customHeight="1" outlineLevel="1">
      <c r="A338" s="80">
        <v>1</v>
      </c>
      <c r="B338" s="61">
        <v>2</v>
      </c>
      <c r="C338" s="28" t="s">
        <v>652</v>
      </c>
      <c r="D338" s="21" t="s">
        <v>24</v>
      </c>
      <c r="E338" s="213" t="s">
        <v>666</v>
      </c>
      <c r="F338" s="214" t="s">
        <v>413</v>
      </c>
      <c r="G338" s="215" t="s">
        <v>23</v>
      </c>
      <c r="H338" s="216">
        <v>4</v>
      </c>
      <c r="I338" s="81"/>
      <c r="J338" s="19">
        <f t="shared" si="25"/>
        <v>0</v>
      </c>
      <c r="K338" s="217" t="e">
        <f t="shared" si="26"/>
        <v>#DIV/0!</v>
      </c>
      <c r="L338" s="72"/>
    </row>
    <row r="339" spans="1:12" ht="25.5" customHeight="1" outlineLevel="1">
      <c r="A339" s="96"/>
      <c r="B339" s="97">
        <v>336.81</v>
      </c>
      <c r="C339" s="28" t="s">
        <v>653</v>
      </c>
      <c r="D339" s="29">
        <v>90160</v>
      </c>
      <c r="E339" s="255" t="s">
        <v>479</v>
      </c>
      <c r="F339" s="256" t="s">
        <v>742</v>
      </c>
      <c r="G339" s="257" t="s">
        <v>23</v>
      </c>
      <c r="H339" s="241">
        <v>1</v>
      </c>
      <c r="I339" s="98"/>
      <c r="J339" s="30">
        <f t="shared" si="25"/>
        <v>0</v>
      </c>
      <c r="K339" s="258" t="e">
        <f t="shared" si="26"/>
        <v>#DIV/0!</v>
      </c>
      <c r="L339" s="72"/>
    </row>
    <row r="340" spans="1:12" ht="25.5" customHeight="1" outlineLevel="1">
      <c r="A340" s="96"/>
      <c r="B340" s="97">
        <v>336.81</v>
      </c>
      <c r="C340" s="28" t="s">
        <v>654</v>
      </c>
      <c r="D340" s="29" t="s">
        <v>120</v>
      </c>
      <c r="E340" s="255" t="s">
        <v>665</v>
      </c>
      <c r="F340" s="256" t="s">
        <v>743</v>
      </c>
      <c r="G340" s="257" t="s">
        <v>23</v>
      </c>
      <c r="H340" s="241">
        <v>27</v>
      </c>
      <c r="I340" s="98"/>
      <c r="J340" s="30">
        <f t="shared" si="25"/>
        <v>0</v>
      </c>
      <c r="K340" s="258" t="e">
        <f t="shared" si="26"/>
        <v>#DIV/0!</v>
      </c>
      <c r="L340" s="72"/>
    </row>
    <row r="341" spans="1:12" ht="25.5" customHeight="1" outlineLevel="1">
      <c r="A341" s="96"/>
      <c r="B341" s="97">
        <v>1</v>
      </c>
      <c r="C341" s="28" t="s">
        <v>655</v>
      </c>
      <c r="D341" s="29" t="s">
        <v>119</v>
      </c>
      <c r="E341" s="255" t="s">
        <v>665</v>
      </c>
      <c r="F341" s="256" t="s">
        <v>744</v>
      </c>
      <c r="G341" s="257" t="s">
        <v>23</v>
      </c>
      <c r="H341" s="241">
        <v>27</v>
      </c>
      <c r="I341" s="98"/>
      <c r="J341" s="30">
        <f t="shared" si="25"/>
        <v>0</v>
      </c>
      <c r="K341" s="258" t="e">
        <f t="shared" si="26"/>
        <v>#DIV/0!</v>
      </c>
      <c r="L341" s="72"/>
    </row>
    <row r="342" spans="1:12" ht="25.5" outlineLevel="1">
      <c r="A342" s="96"/>
      <c r="B342" s="97">
        <v>1</v>
      </c>
      <c r="C342" s="28" t="s">
        <v>656</v>
      </c>
      <c r="D342" s="29" t="s">
        <v>118</v>
      </c>
      <c r="E342" s="255" t="s">
        <v>665</v>
      </c>
      <c r="F342" s="256" t="s">
        <v>745</v>
      </c>
      <c r="G342" s="257" t="s">
        <v>23</v>
      </c>
      <c r="H342" s="241">
        <v>54</v>
      </c>
      <c r="I342" s="98"/>
      <c r="J342" s="30">
        <f t="shared" si="25"/>
        <v>0</v>
      </c>
      <c r="K342" s="258" t="e">
        <f t="shared" si="26"/>
        <v>#DIV/0!</v>
      </c>
      <c r="L342" s="72"/>
    </row>
    <row r="343" spans="1:12" ht="25.5" customHeight="1" outlineLevel="1">
      <c r="A343" s="96"/>
      <c r="B343" s="97">
        <v>1</v>
      </c>
      <c r="C343" s="28" t="s">
        <v>657</v>
      </c>
      <c r="D343" s="29" t="s">
        <v>180</v>
      </c>
      <c r="E343" s="255" t="s">
        <v>665</v>
      </c>
      <c r="F343" s="256" t="s">
        <v>746</v>
      </c>
      <c r="G343" s="257" t="s">
        <v>23</v>
      </c>
      <c r="H343" s="241">
        <v>54</v>
      </c>
      <c r="I343" s="98"/>
      <c r="J343" s="30">
        <f t="shared" si="25"/>
        <v>0</v>
      </c>
      <c r="K343" s="258" t="e">
        <f t="shared" si="26"/>
        <v>#DIV/0!</v>
      </c>
      <c r="L343" s="72"/>
    </row>
    <row r="344" spans="1:12" ht="25.5" customHeight="1" outlineLevel="1">
      <c r="A344" s="96"/>
      <c r="B344" s="97">
        <v>1</v>
      </c>
      <c r="C344" s="28" t="s">
        <v>658</v>
      </c>
      <c r="D344" s="29">
        <v>92010</v>
      </c>
      <c r="E344" s="255" t="s">
        <v>479</v>
      </c>
      <c r="F344" s="256" t="s">
        <v>747</v>
      </c>
      <c r="G344" s="257" t="s">
        <v>23</v>
      </c>
      <c r="H344" s="241">
        <v>4</v>
      </c>
      <c r="I344" s="98"/>
      <c r="J344" s="30">
        <f t="shared" si="25"/>
        <v>0</v>
      </c>
      <c r="K344" s="258" t="e">
        <f t="shared" si="26"/>
        <v>#DIV/0!</v>
      </c>
      <c r="L344" s="72"/>
    </row>
    <row r="345" spans="1:12" ht="25.5" outlineLevel="1">
      <c r="A345" s="89">
        <v>3100</v>
      </c>
      <c r="B345" s="72">
        <v>700</v>
      </c>
      <c r="C345" s="28" t="s">
        <v>659</v>
      </c>
      <c r="D345" s="14" t="s">
        <v>109</v>
      </c>
      <c r="E345" s="221" t="s">
        <v>665</v>
      </c>
      <c r="F345" s="222" t="s">
        <v>416</v>
      </c>
      <c r="G345" s="223" t="s">
        <v>19</v>
      </c>
      <c r="H345" s="241">
        <v>700</v>
      </c>
      <c r="I345" s="89"/>
      <c r="J345" s="35">
        <f t="shared" si="25"/>
        <v>0</v>
      </c>
      <c r="K345" s="259" t="e">
        <f t="shared" si="26"/>
        <v>#DIV/0!</v>
      </c>
      <c r="L345" s="72"/>
    </row>
    <row r="346" spans="1:12" ht="25.5" outlineLevel="1">
      <c r="A346" s="89">
        <v>18000</v>
      </c>
      <c r="B346" s="72">
        <v>4000</v>
      </c>
      <c r="C346" s="28" t="s">
        <v>660</v>
      </c>
      <c r="D346" s="14" t="s">
        <v>110</v>
      </c>
      <c r="E346" s="221" t="s">
        <v>665</v>
      </c>
      <c r="F346" s="222" t="s">
        <v>417</v>
      </c>
      <c r="G346" s="223" t="s">
        <v>19</v>
      </c>
      <c r="H346" s="241">
        <v>4000</v>
      </c>
      <c r="I346" s="89"/>
      <c r="J346" s="35">
        <f t="shared" si="25"/>
        <v>0</v>
      </c>
      <c r="K346" s="259" t="e">
        <f t="shared" si="26"/>
        <v>#DIV/0!</v>
      </c>
      <c r="L346" s="72"/>
    </row>
    <row r="347" spans="1:12" ht="25.5" outlineLevel="1">
      <c r="A347" s="89">
        <v>7900</v>
      </c>
      <c r="B347" s="72">
        <v>2000</v>
      </c>
      <c r="C347" s="28" t="s">
        <v>661</v>
      </c>
      <c r="D347" s="14" t="s">
        <v>111</v>
      </c>
      <c r="E347" s="221" t="s">
        <v>665</v>
      </c>
      <c r="F347" s="222" t="s">
        <v>455</v>
      </c>
      <c r="G347" s="223" t="s">
        <v>19</v>
      </c>
      <c r="H347" s="241">
        <v>2000</v>
      </c>
      <c r="I347" s="89"/>
      <c r="J347" s="35">
        <f t="shared" si="25"/>
        <v>0</v>
      </c>
      <c r="K347" s="259" t="e">
        <f t="shared" si="26"/>
        <v>#DIV/0!</v>
      </c>
      <c r="L347" s="72"/>
    </row>
    <row r="348" spans="1:12" ht="25.5" outlineLevel="1">
      <c r="A348" s="110">
        <v>2</v>
      </c>
      <c r="B348" s="72">
        <v>2</v>
      </c>
      <c r="C348" s="28" t="s">
        <v>662</v>
      </c>
      <c r="D348" s="36" t="s">
        <v>106</v>
      </c>
      <c r="E348" s="236" t="s">
        <v>665</v>
      </c>
      <c r="F348" s="237" t="s">
        <v>456</v>
      </c>
      <c r="G348" s="238" t="s">
        <v>23</v>
      </c>
      <c r="H348" s="241">
        <v>2</v>
      </c>
      <c r="I348" s="110"/>
      <c r="J348" s="37">
        <f t="shared" si="25"/>
        <v>0</v>
      </c>
      <c r="K348" s="277" t="e">
        <f t="shared" si="26"/>
        <v>#DIV/0!</v>
      </c>
      <c r="L348" s="72"/>
    </row>
    <row r="349" spans="1:12" ht="12.75" outlineLevel="1">
      <c r="A349" s="88"/>
      <c r="C349" s="253" t="s">
        <v>358</v>
      </c>
      <c r="D349" s="254"/>
      <c r="E349" s="232"/>
      <c r="F349" s="233" t="s">
        <v>303</v>
      </c>
      <c r="G349" s="234">
        <f>ROUND(SUM(J350:J356),2)</f>
        <v>0</v>
      </c>
      <c r="H349" s="234"/>
      <c r="I349" s="88"/>
      <c r="J349" s="234"/>
      <c r="K349" s="235" t="e">
        <f>G349/$I$394</f>
        <v>#DIV/0!</v>
      </c>
      <c r="L349" s="72"/>
    </row>
    <row r="350" spans="1:12" ht="25.5" outlineLevel="1">
      <c r="A350" s="111">
        <v>2</v>
      </c>
      <c r="C350" s="10" t="s">
        <v>359</v>
      </c>
      <c r="D350" s="49">
        <v>181442</v>
      </c>
      <c r="E350" s="278" t="s">
        <v>479</v>
      </c>
      <c r="F350" s="279" t="s">
        <v>748</v>
      </c>
      <c r="G350" s="280" t="s">
        <v>23</v>
      </c>
      <c r="H350" s="281">
        <v>1</v>
      </c>
      <c r="I350" s="112"/>
      <c r="J350" s="11">
        <f aca="true" t="shared" si="28" ref="J350:J356">ROUND(_xlfn.IFERROR(H350*I350," - "),2)</f>
        <v>0</v>
      </c>
      <c r="K350" s="282" t="e">
        <f aca="true" t="shared" si="29" ref="K350:K356">J350/$I$394</f>
        <v>#DIV/0!</v>
      </c>
      <c r="L350" s="72"/>
    </row>
    <row r="351" spans="1:12" ht="25.5" outlineLevel="1">
      <c r="A351" s="89">
        <v>2</v>
      </c>
      <c r="C351" s="12" t="s">
        <v>360</v>
      </c>
      <c r="D351" s="31">
        <v>181416</v>
      </c>
      <c r="E351" s="221" t="s">
        <v>479</v>
      </c>
      <c r="F351" s="222" t="s">
        <v>749</v>
      </c>
      <c r="G351" s="223" t="s">
        <v>23</v>
      </c>
      <c r="H351" s="241">
        <v>1</v>
      </c>
      <c r="I351" s="85"/>
      <c r="J351" s="13">
        <f t="shared" si="28"/>
        <v>0</v>
      </c>
      <c r="K351" s="224" t="e">
        <f t="shared" si="29"/>
        <v>#DIV/0!</v>
      </c>
      <c r="L351" s="72"/>
    </row>
    <row r="352" spans="1:12" ht="12.75" outlineLevel="1">
      <c r="A352" s="89">
        <v>2</v>
      </c>
      <c r="C352" s="12" t="s">
        <v>361</v>
      </c>
      <c r="D352" s="9" t="s">
        <v>102</v>
      </c>
      <c r="E352" s="221" t="s">
        <v>665</v>
      </c>
      <c r="F352" s="222" t="s">
        <v>457</v>
      </c>
      <c r="G352" s="223" t="s">
        <v>54</v>
      </c>
      <c r="H352" s="241">
        <v>1</v>
      </c>
      <c r="I352" s="85"/>
      <c r="J352" s="13">
        <f t="shared" si="28"/>
        <v>0</v>
      </c>
      <c r="K352" s="224" t="e">
        <f t="shared" si="29"/>
        <v>#DIV/0!</v>
      </c>
      <c r="L352" s="72"/>
    </row>
    <row r="353" spans="1:12" ht="12.75" outlineLevel="1">
      <c r="A353" s="89">
        <v>2</v>
      </c>
      <c r="C353" s="12" t="s">
        <v>362</v>
      </c>
      <c r="D353" s="9" t="s">
        <v>103</v>
      </c>
      <c r="E353" s="221" t="s">
        <v>665</v>
      </c>
      <c r="F353" s="222" t="s">
        <v>458</v>
      </c>
      <c r="G353" s="223" t="s">
        <v>54</v>
      </c>
      <c r="H353" s="241">
        <v>1</v>
      </c>
      <c r="I353" s="85"/>
      <c r="J353" s="13">
        <f t="shared" si="28"/>
        <v>0</v>
      </c>
      <c r="K353" s="224" t="e">
        <f t="shared" si="29"/>
        <v>#DIV/0!</v>
      </c>
      <c r="L353" s="72"/>
    </row>
    <row r="354" spans="1:12" ht="12.75" outlineLevel="1">
      <c r="A354" s="89">
        <v>2</v>
      </c>
      <c r="C354" s="12" t="s">
        <v>473</v>
      </c>
      <c r="D354" s="9" t="s">
        <v>104</v>
      </c>
      <c r="E354" s="221" t="s">
        <v>665</v>
      </c>
      <c r="F354" s="222" t="s">
        <v>459</v>
      </c>
      <c r="G354" s="223" t="s">
        <v>54</v>
      </c>
      <c r="H354" s="241">
        <v>1</v>
      </c>
      <c r="I354" s="85"/>
      <c r="J354" s="13">
        <f t="shared" si="28"/>
        <v>0</v>
      </c>
      <c r="K354" s="224" t="e">
        <f t="shared" si="29"/>
        <v>#DIV/0!</v>
      </c>
      <c r="L354" s="72"/>
    </row>
    <row r="355" spans="1:12" ht="12.75" outlineLevel="1">
      <c r="A355" s="89">
        <v>2</v>
      </c>
      <c r="B355" s="113">
        <f>113.26*0.1</f>
        <v>11.326</v>
      </c>
      <c r="C355" s="12" t="s">
        <v>577</v>
      </c>
      <c r="D355" s="9" t="s">
        <v>74</v>
      </c>
      <c r="E355" s="221" t="s">
        <v>665</v>
      </c>
      <c r="F355" s="222" t="s">
        <v>670</v>
      </c>
      <c r="G355" s="223" t="s">
        <v>436</v>
      </c>
      <c r="H355" s="241">
        <v>11.34</v>
      </c>
      <c r="I355" s="85"/>
      <c r="J355" s="13">
        <f t="shared" si="28"/>
        <v>0</v>
      </c>
      <c r="K355" s="224" t="e">
        <f t="shared" si="29"/>
        <v>#DIV/0!</v>
      </c>
      <c r="L355" s="72"/>
    </row>
    <row r="356" spans="1:12" ht="12.75" outlineLevel="1">
      <c r="A356" s="89">
        <v>2</v>
      </c>
      <c r="C356" s="12" t="s">
        <v>578</v>
      </c>
      <c r="D356" s="9" t="s">
        <v>524</v>
      </c>
      <c r="E356" s="221" t="s">
        <v>666</v>
      </c>
      <c r="F356" s="222" t="s">
        <v>734</v>
      </c>
      <c r="G356" s="223" t="s">
        <v>19</v>
      </c>
      <c r="H356" s="241">
        <v>41</v>
      </c>
      <c r="I356" s="85"/>
      <c r="J356" s="13">
        <f t="shared" si="28"/>
        <v>0</v>
      </c>
      <c r="K356" s="224" t="e">
        <f t="shared" si="29"/>
        <v>#DIV/0!</v>
      </c>
      <c r="L356" s="72"/>
    </row>
    <row r="357" spans="1:12" ht="12.75" outlineLevel="1">
      <c r="A357" s="88"/>
      <c r="C357" s="253" t="s">
        <v>579</v>
      </c>
      <c r="D357" s="254"/>
      <c r="E357" s="232"/>
      <c r="F357" s="233" t="s">
        <v>523</v>
      </c>
      <c r="G357" s="234">
        <f>ROUND(SUM(J358:J371),2)</f>
        <v>0</v>
      </c>
      <c r="H357" s="234"/>
      <c r="I357" s="88"/>
      <c r="J357" s="234"/>
      <c r="K357" s="235" t="e">
        <f>G357/$I$394</f>
        <v>#DIV/0!</v>
      </c>
      <c r="L357" s="72"/>
    </row>
    <row r="358" spans="1:12" ht="12.75" outlineLevel="1">
      <c r="A358" s="106"/>
      <c r="B358" s="107"/>
      <c r="C358" s="25" t="s">
        <v>580</v>
      </c>
      <c r="D358" s="48">
        <v>10401</v>
      </c>
      <c r="E358" s="272" t="s">
        <v>479</v>
      </c>
      <c r="F358" s="273" t="s">
        <v>713</v>
      </c>
      <c r="G358" s="274" t="s">
        <v>436</v>
      </c>
      <c r="H358" s="275">
        <v>16.4595</v>
      </c>
      <c r="I358" s="108"/>
      <c r="J358" s="27">
        <f aca="true" t="shared" si="30" ref="J358:J371">ROUND(_xlfn.IFERROR(H358*I358," - "),2)</f>
        <v>0</v>
      </c>
      <c r="K358" s="276" t="e">
        <f aca="true" t="shared" si="31" ref="K358:K371">J358/$I$394</f>
        <v>#DIV/0!</v>
      </c>
      <c r="L358" s="72"/>
    </row>
    <row r="359" spans="1:12" ht="12.75" outlineLevel="1">
      <c r="A359" s="96"/>
      <c r="B359" s="97"/>
      <c r="C359" s="28" t="s">
        <v>581</v>
      </c>
      <c r="D359" s="29">
        <v>20210</v>
      </c>
      <c r="E359" s="255" t="s">
        <v>479</v>
      </c>
      <c r="F359" s="256" t="s">
        <v>369</v>
      </c>
      <c r="G359" s="257" t="s">
        <v>370</v>
      </c>
      <c r="H359" s="241">
        <v>109.73</v>
      </c>
      <c r="I359" s="98"/>
      <c r="J359" s="30">
        <f t="shared" si="30"/>
        <v>0</v>
      </c>
      <c r="K359" s="258" t="e">
        <f t="shared" si="31"/>
        <v>#DIV/0!</v>
      </c>
      <c r="L359" s="72"/>
    </row>
    <row r="360" spans="1:12" ht="25.5" customHeight="1" outlineLevel="1">
      <c r="A360" s="96"/>
      <c r="B360" s="97"/>
      <c r="C360" s="28" t="s">
        <v>582</v>
      </c>
      <c r="D360" s="29">
        <v>100324</v>
      </c>
      <c r="E360" s="255" t="s">
        <v>664</v>
      </c>
      <c r="F360" s="256" t="s">
        <v>714</v>
      </c>
      <c r="G360" s="257" t="s">
        <v>436</v>
      </c>
      <c r="H360" s="241">
        <v>5.4865</v>
      </c>
      <c r="I360" s="98"/>
      <c r="J360" s="30">
        <f t="shared" si="30"/>
        <v>0</v>
      </c>
      <c r="K360" s="258" t="e">
        <f t="shared" si="31"/>
        <v>#DIV/0!</v>
      </c>
      <c r="L360" s="72"/>
    </row>
    <row r="361" spans="1:12" ht="38.25" outlineLevel="1">
      <c r="A361" s="96"/>
      <c r="B361" s="97"/>
      <c r="C361" s="28" t="s">
        <v>583</v>
      </c>
      <c r="D361" s="29">
        <v>94996</v>
      </c>
      <c r="E361" s="255" t="s">
        <v>664</v>
      </c>
      <c r="F361" s="256" t="s">
        <v>715</v>
      </c>
      <c r="G361" s="257" t="s">
        <v>370</v>
      </c>
      <c r="H361" s="241">
        <v>109.73</v>
      </c>
      <c r="I361" s="98"/>
      <c r="J361" s="30">
        <f t="shared" si="30"/>
        <v>0</v>
      </c>
      <c r="K361" s="258" t="e">
        <f t="shared" si="31"/>
        <v>#DIV/0!</v>
      </c>
      <c r="L361" s="72"/>
    </row>
    <row r="362" spans="1:12" ht="12.75" outlineLevel="1">
      <c r="A362" s="96"/>
      <c r="B362" s="97"/>
      <c r="C362" s="28" t="s">
        <v>584</v>
      </c>
      <c r="D362" s="29" t="s">
        <v>64</v>
      </c>
      <c r="E362" s="255" t="s">
        <v>665</v>
      </c>
      <c r="F362" s="256" t="s">
        <v>430</v>
      </c>
      <c r="G362" s="257" t="s">
        <v>436</v>
      </c>
      <c r="H362" s="241">
        <v>16.4595</v>
      </c>
      <c r="I362" s="98"/>
      <c r="J362" s="30">
        <f t="shared" si="30"/>
        <v>0</v>
      </c>
      <c r="K362" s="258" t="e">
        <f t="shared" si="31"/>
        <v>#DIV/0!</v>
      </c>
      <c r="L362" s="72"/>
    </row>
    <row r="363" spans="1:12" ht="12.75" outlineLevel="1">
      <c r="A363" s="96"/>
      <c r="B363" s="97"/>
      <c r="C363" s="28" t="s">
        <v>585</v>
      </c>
      <c r="D363" s="29">
        <v>10310</v>
      </c>
      <c r="E363" s="255" t="s">
        <v>479</v>
      </c>
      <c r="F363" s="256" t="s">
        <v>700</v>
      </c>
      <c r="G363" s="257" t="s">
        <v>701</v>
      </c>
      <c r="H363" s="241">
        <v>329.18999999999994</v>
      </c>
      <c r="I363" s="98"/>
      <c r="J363" s="30">
        <f t="shared" si="30"/>
        <v>0</v>
      </c>
      <c r="K363" s="258" t="e">
        <f t="shared" si="31"/>
        <v>#DIV/0!</v>
      </c>
      <c r="L363" s="72"/>
    </row>
    <row r="364" spans="1:12" ht="25.5" outlineLevel="1">
      <c r="A364" s="96"/>
      <c r="B364" s="97"/>
      <c r="C364" s="28" t="s">
        <v>586</v>
      </c>
      <c r="D364" s="29" t="s">
        <v>157</v>
      </c>
      <c r="E364" s="255" t="s">
        <v>665</v>
      </c>
      <c r="F364" s="256" t="s">
        <v>431</v>
      </c>
      <c r="G364" s="257" t="s">
        <v>436</v>
      </c>
      <c r="H364" s="241">
        <v>16.4595</v>
      </c>
      <c r="I364" s="98"/>
      <c r="J364" s="30">
        <f t="shared" si="30"/>
        <v>0</v>
      </c>
      <c r="K364" s="258" t="e">
        <f t="shared" si="31"/>
        <v>#DIV/0!</v>
      </c>
      <c r="L364" s="72"/>
    </row>
    <row r="365" spans="1:12" ht="12.75" outlineLevel="1">
      <c r="A365" s="89"/>
      <c r="B365" s="72"/>
      <c r="C365" s="28" t="s">
        <v>587</v>
      </c>
      <c r="D365" s="34">
        <v>181617</v>
      </c>
      <c r="E365" s="221" t="s">
        <v>479</v>
      </c>
      <c r="F365" s="222" t="s">
        <v>750</v>
      </c>
      <c r="G365" s="223" t="s">
        <v>23</v>
      </c>
      <c r="H365" s="241">
        <v>1</v>
      </c>
      <c r="I365" s="89"/>
      <c r="J365" s="35">
        <f t="shared" si="30"/>
        <v>0</v>
      </c>
      <c r="K365" s="259" t="e">
        <f t="shared" si="31"/>
        <v>#DIV/0!</v>
      </c>
      <c r="L365" s="72"/>
    </row>
    <row r="366" spans="1:12" ht="12.75" outlineLevel="1">
      <c r="A366" s="89"/>
      <c r="B366" s="72"/>
      <c r="C366" s="28" t="s">
        <v>588</v>
      </c>
      <c r="D366" s="31">
        <v>181603</v>
      </c>
      <c r="E366" s="221" t="s">
        <v>479</v>
      </c>
      <c r="F366" s="222" t="s">
        <v>751</v>
      </c>
      <c r="G366" s="223" t="s">
        <v>23</v>
      </c>
      <c r="H366" s="241">
        <v>1</v>
      </c>
      <c r="I366" s="89"/>
      <c r="J366" s="35">
        <f t="shared" si="30"/>
        <v>0</v>
      </c>
      <c r="K366" s="259" t="e">
        <f t="shared" si="31"/>
        <v>#DIV/0!</v>
      </c>
      <c r="L366" s="33"/>
    </row>
    <row r="367" spans="1:12" ht="12.75" outlineLevel="1">
      <c r="A367" s="89"/>
      <c r="B367" s="72"/>
      <c r="C367" s="28" t="s">
        <v>589</v>
      </c>
      <c r="D367" s="31">
        <v>181607</v>
      </c>
      <c r="E367" s="221" t="s">
        <v>479</v>
      </c>
      <c r="F367" s="222" t="s">
        <v>752</v>
      </c>
      <c r="G367" s="223" t="s">
        <v>23</v>
      </c>
      <c r="H367" s="241">
        <v>1</v>
      </c>
      <c r="I367" s="89"/>
      <c r="J367" s="35">
        <f t="shared" si="30"/>
        <v>0</v>
      </c>
      <c r="K367" s="259" t="e">
        <f t="shared" si="31"/>
        <v>#DIV/0!</v>
      </c>
      <c r="L367" s="109"/>
    </row>
    <row r="368" spans="1:12" ht="12.75" outlineLevel="1">
      <c r="A368" s="89"/>
      <c r="B368" s="72"/>
      <c r="C368" s="28" t="s">
        <v>590</v>
      </c>
      <c r="D368" s="31">
        <v>181614</v>
      </c>
      <c r="E368" s="221" t="s">
        <v>479</v>
      </c>
      <c r="F368" s="222" t="s">
        <v>753</v>
      </c>
      <c r="G368" s="223" t="s">
        <v>23</v>
      </c>
      <c r="H368" s="241">
        <v>1</v>
      </c>
      <c r="I368" s="89"/>
      <c r="J368" s="35">
        <f t="shared" si="30"/>
        <v>0</v>
      </c>
      <c r="K368" s="259" t="e">
        <f t="shared" si="31"/>
        <v>#DIV/0!</v>
      </c>
      <c r="L368" s="109"/>
    </row>
    <row r="369" spans="1:12" ht="12.75" outlineLevel="1">
      <c r="A369" s="89"/>
      <c r="B369" s="72"/>
      <c r="C369" s="28" t="s">
        <v>591</v>
      </c>
      <c r="D369" s="31">
        <v>181618</v>
      </c>
      <c r="E369" s="221" t="s">
        <v>479</v>
      </c>
      <c r="F369" s="222" t="s">
        <v>754</v>
      </c>
      <c r="G369" s="223" t="s">
        <v>23</v>
      </c>
      <c r="H369" s="241">
        <v>1</v>
      </c>
      <c r="I369" s="89"/>
      <c r="J369" s="35">
        <f t="shared" si="30"/>
        <v>0</v>
      </c>
      <c r="K369" s="259" t="e">
        <f t="shared" si="31"/>
        <v>#DIV/0!</v>
      </c>
      <c r="L369" s="72"/>
    </row>
    <row r="370" spans="1:12" ht="12.75" outlineLevel="1">
      <c r="A370" s="89"/>
      <c r="B370" s="72"/>
      <c r="C370" s="28" t="s">
        <v>592</v>
      </c>
      <c r="D370" s="31">
        <v>181612</v>
      </c>
      <c r="E370" s="221" t="s">
        <v>479</v>
      </c>
      <c r="F370" s="222" t="s">
        <v>755</v>
      </c>
      <c r="G370" s="223" t="s">
        <v>23</v>
      </c>
      <c r="H370" s="241">
        <v>1</v>
      </c>
      <c r="I370" s="89"/>
      <c r="J370" s="35">
        <f t="shared" si="30"/>
        <v>0</v>
      </c>
      <c r="K370" s="259" t="e">
        <f t="shared" si="31"/>
        <v>#DIV/0!</v>
      </c>
      <c r="L370" s="72"/>
    </row>
    <row r="371" spans="1:12" ht="12.75" outlineLevel="1">
      <c r="A371" s="89"/>
      <c r="B371" s="72"/>
      <c r="C371" s="28" t="s">
        <v>593</v>
      </c>
      <c r="D371" s="31">
        <v>181619</v>
      </c>
      <c r="E371" s="221" t="s">
        <v>479</v>
      </c>
      <c r="F371" s="222" t="s">
        <v>756</v>
      </c>
      <c r="G371" s="223" t="s">
        <v>23</v>
      </c>
      <c r="H371" s="241">
        <v>1</v>
      </c>
      <c r="I371" s="89"/>
      <c r="J371" s="35">
        <f t="shared" si="30"/>
        <v>0</v>
      </c>
      <c r="K371" s="259" t="e">
        <f t="shared" si="31"/>
        <v>#DIV/0!</v>
      </c>
      <c r="L371" s="72"/>
    </row>
    <row r="372" spans="1:12" ht="12.75" outlineLevel="1">
      <c r="A372" s="88"/>
      <c r="C372" s="253" t="s">
        <v>594</v>
      </c>
      <c r="D372" s="254"/>
      <c r="E372" s="232"/>
      <c r="F372" s="233" t="s">
        <v>530</v>
      </c>
      <c r="G372" s="234">
        <f>ROUND(SUM(J373:J377),2)</f>
        <v>0</v>
      </c>
      <c r="H372" s="234"/>
      <c r="I372" s="88"/>
      <c r="J372" s="234"/>
      <c r="K372" s="235" t="e">
        <f>G372/$I$394</f>
        <v>#DIV/0!</v>
      </c>
      <c r="L372" s="72"/>
    </row>
    <row r="373" spans="1:12" ht="12.75" outlineLevel="1">
      <c r="A373" s="106">
        <v>2312</v>
      </c>
      <c r="B373" s="107">
        <f>215.99+194.34+264.27+12.56+43.9+50.88+29.45+60.12+39.06+31.4+11.05+187.77+63.03+3.25+24.56+8.88+3.75+26.92+3.83+9.44+9.51+4.33+9.52+31.98</f>
        <v>1339.79</v>
      </c>
      <c r="C373" s="25" t="s">
        <v>595</v>
      </c>
      <c r="D373" s="48">
        <v>34005</v>
      </c>
      <c r="E373" s="272" t="s">
        <v>479</v>
      </c>
      <c r="F373" s="273" t="s">
        <v>757</v>
      </c>
      <c r="G373" s="274" t="s">
        <v>370</v>
      </c>
      <c r="H373" s="275">
        <v>747.1640000000001</v>
      </c>
      <c r="I373" s="108"/>
      <c r="J373" s="27">
        <f>ROUND(_xlfn.IFERROR(H373*I373," - "),2)</f>
        <v>0</v>
      </c>
      <c r="K373" s="276" t="e">
        <f>J373/$I$394</f>
        <v>#DIV/0!</v>
      </c>
      <c r="L373" s="72"/>
    </row>
    <row r="374" spans="1:12" ht="25.5" customHeight="1" outlineLevel="1">
      <c r="A374" s="96"/>
      <c r="B374" s="97">
        <f>ROUND((46.28+133.21+32.62+31.2+37.01+40.46+9.46+113.06+9.59+12.34+2.67+7.15+1.32+27.05)*0.1,2)+ROUND((286.75-64*2-25.1)*0.1,2)</f>
        <v>63.71</v>
      </c>
      <c r="C374" s="28" t="s">
        <v>596</v>
      </c>
      <c r="D374" s="29">
        <v>100327</v>
      </c>
      <c r="E374" s="255" t="s">
        <v>664</v>
      </c>
      <c r="F374" s="256" t="s">
        <v>758</v>
      </c>
      <c r="G374" s="257" t="s">
        <v>19</v>
      </c>
      <c r="H374" s="241">
        <v>169.81</v>
      </c>
      <c r="I374" s="98"/>
      <c r="J374" s="30">
        <f>ROUND(_xlfn.IFERROR(H374*I374," - "),2)</f>
        <v>0</v>
      </c>
      <c r="K374" s="258" t="e">
        <f>J374/$I$394</f>
        <v>#DIV/0!</v>
      </c>
      <c r="L374" s="72"/>
    </row>
    <row r="375" spans="1:12" ht="25.5" customHeight="1" outlineLevel="1">
      <c r="A375" s="96"/>
      <c r="B375" s="97">
        <v>336.81</v>
      </c>
      <c r="C375" s="28" t="s">
        <v>597</v>
      </c>
      <c r="D375" s="29">
        <v>87894</v>
      </c>
      <c r="E375" s="255" t="s">
        <v>664</v>
      </c>
      <c r="F375" s="256" t="s">
        <v>759</v>
      </c>
      <c r="G375" s="257" t="s">
        <v>370</v>
      </c>
      <c r="H375" s="241">
        <v>747.1640000000001</v>
      </c>
      <c r="I375" s="98"/>
      <c r="J375" s="30">
        <f>ROUND(_xlfn.IFERROR(H375*I375," - "),2)</f>
        <v>0</v>
      </c>
      <c r="K375" s="258" t="e">
        <f>J375/$I$394</f>
        <v>#DIV/0!</v>
      </c>
      <c r="L375" s="72"/>
    </row>
    <row r="376" spans="1:12" ht="25.5" customHeight="1" outlineLevel="1">
      <c r="A376" s="96"/>
      <c r="B376" s="97">
        <v>1</v>
      </c>
      <c r="C376" s="28" t="s">
        <v>598</v>
      </c>
      <c r="D376" s="29">
        <v>87792</v>
      </c>
      <c r="E376" s="255" t="s">
        <v>664</v>
      </c>
      <c r="F376" s="256" t="s">
        <v>760</v>
      </c>
      <c r="G376" s="257" t="s">
        <v>370</v>
      </c>
      <c r="H376" s="241">
        <v>747.1640000000001</v>
      </c>
      <c r="I376" s="98"/>
      <c r="J376" s="30">
        <f>ROUND(_xlfn.IFERROR(H376*I376," - "),2)</f>
        <v>0</v>
      </c>
      <c r="K376" s="258" t="e">
        <f>J376/$I$394</f>
        <v>#DIV/0!</v>
      </c>
      <c r="L376" s="72"/>
    </row>
    <row r="377" spans="1:12" ht="25.5" customHeight="1" outlineLevel="1">
      <c r="A377" s="96"/>
      <c r="B377" s="97">
        <v>1</v>
      </c>
      <c r="C377" s="28" t="s">
        <v>599</v>
      </c>
      <c r="D377" s="29">
        <v>88489</v>
      </c>
      <c r="E377" s="255" t="s">
        <v>664</v>
      </c>
      <c r="F377" s="256" t="s">
        <v>761</v>
      </c>
      <c r="G377" s="257" t="s">
        <v>370</v>
      </c>
      <c r="H377" s="241">
        <v>747.1640000000001</v>
      </c>
      <c r="I377" s="98"/>
      <c r="J377" s="30">
        <f>ROUND(_xlfn.IFERROR(H377*I377," - "),2)</f>
        <v>0</v>
      </c>
      <c r="K377" s="258" t="e">
        <f>J377/$I$394</f>
        <v>#DIV/0!</v>
      </c>
      <c r="L377" s="72"/>
    </row>
    <row r="378" spans="1:12" ht="12.75" outlineLevel="1">
      <c r="A378" s="88"/>
      <c r="C378" s="253" t="s">
        <v>600</v>
      </c>
      <c r="D378" s="254"/>
      <c r="E378" s="232"/>
      <c r="F378" s="233" t="s">
        <v>526</v>
      </c>
      <c r="G378" s="234">
        <f>ROUND(SUM(J379:J382),2)</f>
        <v>0</v>
      </c>
      <c r="H378" s="234"/>
      <c r="I378" s="88"/>
      <c r="J378" s="234"/>
      <c r="K378" s="235" t="e">
        <f>G378/$I$394</f>
        <v>#DIV/0!</v>
      </c>
      <c r="L378" s="72"/>
    </row>
    <row r="379" spans="1:12" ht="12.75" outlineLevel="1">
      <c r="A379" s="106">
        <v>2312</v>
      </c>
      <c r="B379" s="107">
        <f>215.99+194.34+264.27+12.56+43.9+50.88+29.45+60.12+39.06+31.4+11.05+187.77+63.03+3.25+24.56+8.88+3.75+26.92+3.83+9.44+9.51+4.33+9.52+31.98</f>
        <v>1339.79</v>
      </c>
      <c r="C379" s="25" t="s">
        <v>601</v>
      </c>
      <c r="D379" s="48">
        <v>90778</v>
      </c>
      <c r="E379" s="272" t="s">
        <v>664</v>
      </c>
      <c r="F379" s="273" t="s">
        <v>762</v>
      </c>
      <c r="G379" s="274" t="s">
        <v>763</v>
      </c>
      <c r="H379" s="275">
        <v>300</v>
      </c>
      <c r="I379" s="108"/>
      <c r="J379" s="27">
        <f>ROUND(_xlfn.IFERROR(H379*I379," - "),2)</f>
        <v>0</v>
      </c>
      <c r="K379" s="276" t="e">
        <f>J379/$I$394</f>
        <v>#DIV/0!</v>
      </c>
      <c r="L379" s="72"/>
    </row>
    <row r="380" spans="1:12" ht="12.75" outlineLevel="1">
      <c r="A380" s="96"/>
      <c r="B380" s="97">
        <f>ROUND((46.28+133.21+32.62+31.2+37.01+40.46+9.46+113.06+9.59+12.34+2.67+7.15+1.32+27.05)*0.1,2)+ROUND((286.75-64*2-25.1)*0.1,2)</f>
        <v>63.71</v>
      </c>
      <c r="C380" s="25" t="s">
        <v>602</v>
      </c>
      <c r="D380" s="29">
        <v>94295</v>
      </c>
      <c r="E380" s="255" t="s">
        <v>664</v>
      </c>
      <c r="F380" s="256" t="s">
        <v>764</v>
      </c>
      <c r="G380" s="257" t="s">
        <v>765</v>
      </c>
      <c r="H380" s="241">
        <v>5</v>
      </c>
      <c r="I380" s="98"/>
      <c r="J380" s="30">
        <f>ROUND(_xlfn.IFERROR(H380*I380," - "),2)</f>
        <v>0</v>
      </c>
      <c r="K380" s="258" t="e">
        <f>J380/$I$394</f>
        <v>#DIV/0!</v>
      </c>
      <c r="L380" s="72"/>
    </row>
    <row r="381" spans="1:12" ht="12.75" outlineLevel="1">
      <c r="A381" s="96"/>
      <c r="B381" s="97">
        <v>336.81</v>
      </c>
      <c r="C381" s="25" t="s">
        <v>603</v>
      </c>
      <c r="D381" s="29">
        <v>93572</v>
      </c>
      <c r="E381" s="255" t="s">
        <v>664</v>
      </c>
      <c r="F381" s="256" t="s">
        <v>766</v>
      </c>
      <c r="G381" s="257" t="s">
        <v>765</v>
      </c>
      <c r="H381" s="241">
        <v>5</v>
      </c>
      <c r="I381" s="98"/>
      <c r="J381" s="30">
        <f>ROUND(_xlfn.IFERROR(H381*I381," - "),2)</f>
        <v>0</v>
      </c>
      <c r="K381" s="258" t="e">
        <f>J381/$I$394</f>
        <v>#DIV/0!</v>
      </c>
      <c r="L381" s="72"/>
    </row>
    <row r="382" spans="1:12" ht="12.75" outlineLevel="1">
      <c r="A382" s="96"/>
      <c r="B382" s="97">
        <v>1</v>
      </c>
      <c r="C382" s="25" t="s">
        <v>604</v>
      </c>
      <c r="D382" s="29">
        <v>100316</v>
      </c>
      <c r="E382" s="255" t="s">
        <v>664</v>
      </c>
      <c r="F382" s="256" t="s">
        <v>767</v>
      </c>
      <c r="G382" s="257" t="s">
        <v>765</v>
      </c>
      <c r="H382" s="241">
        <v>5</v>
      </c>
      <c r="I382" s="98"/>
      <c r="J382" s="30">
        <f>ROUND(_xlfn.IFERROR(H382*I382," - "),2)</f>
        <v>0</v>
      </c>
      <c r="K382" s="258" t="e">
        <f>J382/$I$394</f>
        <v>#DIV/0!</v>
      </c>
      <c r="L382" s="72"/>
    </row>
    <row r="383" spans="1:12" ht="12.75" outlineLevel="1">
      <c r="A383" s="88"/>
      <c r="C383" s="253" t="s">
        <v>605</v>
      </c>
      <c r="D383" s="254"/>
      <c r="E383" s="232"/>
      <c r="F383" s="233" t="s">
        <v>178</v>
      </c>
      <c r="G383" s="234">
        <f>ROUND(SUM(J384:J387),2)</f>
        <v>0</v>
      </c>
      <c r="H383" s="234"/>
      <c r="I383" s="88"/>
      <c r="J383" s="234"/>
      <c r="K383" s="235" t="e">
        <f>G383/$I$394</f>
        <v>#DIV/0!</v>
      </c>
      <c r="L383" s="72"/>
    </row>
    <row r="384" spans="1:12" ht="12.75" outlineLevel="1">
      <c r="A384" s="106">
        <v>2312</v>
      </c>
      <c r="B384" s="107">
        <f>215.99+194.34+264.27+12.56+43.9+50.88+29.45+60.12+39.06+31.4+11.05+187.77+63.03+3.25+24.56+8.88+3.75+26.92+3.83+9.44+9.51+4.33+9.52+31.98</f>
        <v>1339.79</v>
      </c>
      <c r="C384" s="25" t="s">
        <v>606</v>
      </c>
      <c r="D384" s="26" t="s">
        <v>100</v>
      </c>
      <c r="E384" s="272" t="s">
        <v>665</v>
      </c>
      <c r="F384" s="273" t="s">
        <v>451</v>
      </c>
      <c r="G384" s="274" t="s">
        <v>370</v>
      </c>
      <c r="H384" s="275">
        <v>2950.98</v>
      </c>
      <c r="I384" s="108"/>
      <c r="J384" s="27">
        <f>ROUND(_xlfn.IFERROR(H384*I384," - "),2)</f>
        <v>0</v>
      </c>
      <c r="K384" s="276" t="e">
        <f>J384/$I$394</f>
        <v>#DIV/0!</v>
      </c>
      <c r="L384" s="72"/>
    </row>
    <row r="385" spans="1:12" ht="12.75" outlineLevel="1">
      <c r="A385" s="96"/>
      <c r="B385" s="97">
        <f>ROUND((46.28+133.21+32.62+31.2+37.01+40.46+9.46+113.06+9.59+12.34+2.67+7.15+1.32+27.05)*0.1,2)+ROUND((286.75-64*2-25.1)*0.1,2)</f>
        <v>63.71</v>
      </c>
      <c r="C385" s="25" t="s">
        <v>607</v>
      </c>
      <c r="D385" s="29" t="s">
        <v>527</v>
      </c>
      <c r="E385" s="255" t="s">
        <v>666</v>
      </c>
      <c r="F385" s="256" t="s">
        <v>768</v>
      </c>
      <c r="G385" s="257" t="s">
        <v>23</v>
      </c>
      <c r="H385" s="241">
        <v>20</v>
      </c>
      <c r="I385" s="98"/>
      <c r="J385" s="30">
        <f>ROUND(_xlfn.IFERROR(H385*I385," - "),2)</f>
        <v>0</v>
      </c>
      <c r="K385" s="258" t="e">
        <f>J385/$I$394</f>
        <v>#DIV/0!</v>
      </c>
      <c r="L385" s="72"/>
    </row>
    <row r="386" spans="1:12" ht="12.75" outlineLevel="1">
      <c r="A386" s="96"/>
      <c r="B386" s="97">
        <v>336.81</v>
      </c>
      <c r="C386" s="25" t="s">
        <v>608</v>
      </c>
      <c r="D386" s="29" t="s">
        <v>528</v>
      </c>
      <c r="E386" s="255" t="s">
        <v>666</v>
      </c>
      <c r="F386" s="256" t="s">
        <v>769</v>
      </c>
      <c r="G386" s="257" t="s">
        <v>23</v>
      </c>
      <c r="H386" s="241">
        <v>20</v>
      </c>
      <c r="I386" s="98"/>
      <c r="J386" s="30">
        <f>ROUND(_xlfn.IFERROR(H386*I386," - "),2)</f>
        <v>0</v>
      </c>
      <c r="K386" s="258" t="e">
        <f>J386/$I$394</f>
        <v>#DIV/0!</v>
      </c>
      <c r="L386" s="72"/>
    </row>
    <row r="387" spans="1:12" ht="38.25" outlineLevel="1">
      <c r="A387" s="96"/>
      <c r="B387" s="97">
        <v>1</v>
      </c>
      <c r="C387" s="25" t="s">
        <v>609</v>
      </c>
      <c r="D387" s="29" t="s">
        <v>525</v>
      </c>
      <c r="E387" s="255" t="s">
        <v>666</v>
      </c>
      <c r="F387" s="256" t="s">
        <v>770</v>
      </c>
      <c r="G387" s="257" t="s">
        <v>19</v>
      </c>
      <c r="H387" s="241">
        <v>9.2</v>
      </c>
      <c r="I387" s="98"/>
      <c r="J387" s="30">
        <f>ROUND(_xlfn.IFERROR(H387*I387," - "),2)</f>
        <v>0</v>
      </c>
      <c r="K387" s="258" t="e">
        <f>J387/$I$394</f>
        <v>#DIV/0!</v>
      </c>
      <c r="L387" s="72"/>
    </row>
    <row r="388" spans="1:12" ht="12.75" outlineLevel="1">
      <c r="A388" s="114"/>
      <c r="C388" s="283" t="s">
        <v>610</v>
      </c>
      <c r="D388" s="284"/>
      <c r="E388" s="285"/>
      <c r="F388" s="286" t="s">
        <v>304</v>
      </c>
      <c r="G388" s="287">
        <f>ROUND(SUM(J389:J393),2)</f>
        <v>0</v>
      </c>
      <c r="H388" s="287"/>
      <c r="I388" s="114"/>
      <c r="J388" s="287"/>
      <c r="K388" s="288" t="e">
        <f>G388/$I$394</f>
        <v>#DIV/0!</v>
      </c>
      <c r="L388" s="72"/>
    </row>
    <row r="389" spans="1:12" ht="25.5" outlineLevel="1">
      <c r="A389" s="111">
        <v>12</v>
      </c>
      <c r="B389" s="61">
        <v>1</v>
      </c>
      <c r="C389" s="39" t="s">
        <v>611</v>
      </c>
      <c r="D389" s="212" t="s">
        <v>76</v>
      </c>
      <c r="E389" s="278" t="s">
        <v>665</v>
      </c>
      <c r="F389" s="279" t="s">
        <v>771</v>
      </c>
      <c r="G389" s="280" t="s">
        <v>772</v>
      </c>
      <c r="H389" s="281">
        <v>1</v>
      </c>
      <c r="I389" s="112"/>
      <c r="J389" s="11">
        <f>ROUND(_xlfn.IFERROR(H389*I389," - "),2)</f>
        <v>0</v>
      </c>
      <c r="K389" s="282" t="e">
        <f>J389/$I$394</f>
        <v>#DIV/0!</v>
      </c>
      <c r="L389" s="72"/>
    </row>
    <row r="390" spans="1:12" ht="25.5" outlineLevel="1">
      <c r="A390" s="89">
        <v>12</v>
      </c>
      <c r="B390" s="61">
        <f>2*5</f>
        <v>10</v>
      </c>
      <c r="C390" s="39" t="s">
        <v>612</v>
      </c>
      <c r="D390" s="9" t="s">
        <v>55</v>
      </c>
      <c r="E390" s="221" t="s">
        <v>665</v>
      </c>
      <c r="F390" s="222" t="s">
        <v>460</v>
      </c>
      <c r="G390" s="223" t="s">
        <v>773</v>
      </c>
      <c r="H390" s="241">
        <v>10</v>
      </c>
      <c r="I390" s="85"/>
      <c r="J390" s="13">
        <f>ROUND(_xlfn.IFERROR(H390*I390," - "),2)</f>
        <v>0</v>
      </c>
      <c r="K390" s="224" t="e">
        <f>J390/$I$394</f>
        <v>#DIV/0!</v>
      </c>
      <c r="L390" s="72"/>
    </row>
    <row r="391" spans="1:12" ht="38.25" outlineLevel="1">
      <c r="A391" s="89">
        <v>12</v>
      </c>
      <c r="B391" s="61">
        <f>2*5</f>
        <v>10</v>
      </c>
      <c r="C391" s="39" t="s">
        <v>613</v>
      </c>
      <c r="D391" s="9" t="s">
        <v>56</v>
      </c>
      <c r="E391" s="221" t="s">
        <v>665</v>
      </c>
      <c r="F391" s="222" t="s">
        <v>461</v>
      </c>
      <c r="G391" s="223" t="s">
        <v>773</v>
      </c>
      <c r="H391" s="241">
        <v>10</v>
      </c>
      <c r="I391" s="85"/>
      <c r="J391" s="13">
        <f>ROUND(_xlfn.IFERROR(H391*I391," - "),2)</f>
        <v>0</v>
      </c>
      <c r="K391" s="224" t="e">
        <f>J391/$I$394</f>
        <v>#DIV/0!</v>
      </c>
      <c r="L391" s="72"/>
    </row>
    <row r="392" spans="1:12" ht="17.25" customHeight="1" outlineLevel="1">
      <c r="A392" s="89">
        <v>36</v>
      </c>
      <c r="B392" s="113">
        <f>7*5</f>
        <v>35</v>
      </c>
      <c r="C392" s="39" t="s">
        <v>614</v>
      </c>
      <c r="D392" s="9" t="s">
        <v>57</v>
      </c>
      <c r="E392" s="221" t="s">
        <v>665</v>
      </c>
      <c r="F392" s="222" t="s">
        <v>462</v>
      </c>
      <c r="G392" s="223" t="s">
        <v>773</v>
      </c>
      <c r="H392" s="241">
        <v>25</v>
      </c>
      <c r="I392" s="85"/>
      <c r="J392" s="13">
        <f>ROUND(_xlfn.IFERROR(H392*I392," - "),2)</f>
        <v>0</v>
      </c>
      <c r="K392" s="224" t="e">
        <f>J392/$I$394</f>
        <v>#DIV/0!</v>
      </c>
      <c r="L392" s="72"/>
    </row>
    <row r="393" spans="1:12" ht="13.5" outlineLevel="1" thickBot="1">
      <c r="A393" s="115">
        <v>855.75</v>
      </c>
      <c r="C393" s="39" t="s">
        <v>667</v>
      </c>
      <c r="D393" s="50" t="s">
        <v>58</v>
      </c>
      <c r="E393" s="289" t="s">
        <v>665</v>
      </c>
      <c r="F393" s="290" t="s">
        <v>774</v>
      </c>
      <c r="G393" s="291" t="s">
        <v>370</v>
      </c>
      <c r="H393" s="292">
        <v>485.52</v>
      </c>
      <c r="I393" s="116"/>
      <c r="J393" s="24">
        <f>ROUND(_xlfn.IFERROR(H393*I393," - "),2)</f>
        <v>0</v>
      </c>
      <c r="K393" s="293" t="e">
        <f>J393/$I$394</f>
        <v>#DIV/0!</v>
      </c>
      <c r="L393" s="72"/>
    </row>
    <row r="394" spans="1:12" s="8" customFormat="1" ht="18.75" thickBot="1">
      <c r="A394" s="117"/>
      <c r="B394" s="61"/>
      <c r="C394" s="294" t="s">
        <v>177</v>
      </c>
      <c r="D394" s="295"/>
      <c r="E394" s="295"/>
      <c r="F394" s="296"/>
      <c r="G394" s="297"/>
      <c r="H394" s="298"/>
      <c r="I394" s="299">
        <f>ROUND(SUM(G14),2)</f>
        <v>0</v>
      </c>
      <c r="J394" s="299"/>
      <c r="K394" s="300" t="e">
        <f>SUM(J17:J393)/I394</f>
        <v>#DIV/0!</v>
      </c>
      <c r="L394" s="59"/>
    </row>
    <row r="395" spans="1:12" s="8" customFormat="1" ht="18.75" thickBot="1">
      <c r="A395" s="118">
        <v>0.2338</v>
      </c>
      <c r="B395" s="61"/>
      <c r="C395" s="294" t="s">
        <v>182</v>
      </c>
      <c r="D395" s="295"/>
      <c r="E395" s="295"/>
      <c r="F395" s="296"/>
      <c r="G395" s="297"/>
      <c r="H395" s="118" t="s">
        <v>775</v>
      </c>
      <c r="I395" s="299" t="e">
        <f>ROUND(I394*(1+H395),2)</f>
        <v>#VALUE!</v>
      </c>
      <c r="J395" s="299"/>
      <c r="K395" s="300" t="e">
        <f>SUM(J17:J393)*(1+H395)/I395</f>
        <v>#VALUE!</v>
      </c>
      <c r="L395" s="60"/>
    </row>
    <row r="396" spans="1:12" ht="48.75" customHeight="1">
      <c r="A396" s="119"/>
      <c r="C396" s="301" t="s">
        <v>185</v>
      </c>
      <c r="D396" s="301"/>
      <c r="E396" s="301"/>
      <c r="F396" s="301"/>
      <c r="G396" s="301"/>
      <c r="H396" s="301"/>
      <c r="I396" s="302"/>
      <c r="J396" s="303"/>
      <c r="K396" s="304"/>
      <c r="L396" s="60"/>
    </row>
    <row r="397" spans="1:12" ht="15.75">
      <c r="A397" s="119"/>
      <c r="C397" s="122"/>
      <c r="D397" s="123"/>
      <c r="E397" s="123"/>
      <c r="F397" s="124"/>
      <c r="G397" s="125"/>
      <c r="H397" s="119"/>
      <c r="I397" s="125"/>
      <c r="J397" s="120"/>
      <c r="K397" s="121"/>
      <c r="L397" s="60"/>
    </row>
    <row r="398" spans="1:12" ht="15">
      <c r="A398" s="126"/>
      <c r="C398" s="66"/>
      <c r="D398" s="127"/>
      <c r="E398" s="128"/>
      <c r="F398" s="129"/>
      <c r="G398" s="130"/>
      <c r="H398" s="126"/>
      <c r="I398" s="130"/>
      <c r="J398" s="120"/>
      <c r="K398" s="130"/>
      <c r="L398" s="60"/>
    </row>
    <row r="399" spans="1:12" ht="15">
      <c r="A399" s="126"/>
      <c r="C399" s="127"/>
      <c r="D399" s="127"/>
      <c r="E399" s="128"/>
      <c r="F399" s="129"/>
      <c r="G399" s="130"/>
      <c r="H399" s="126"/>
      <c r="I399" s="130"/>
      <c r="J399" s="130"/>
      <c r="K399" s="130"/>
      <c r="L399" s="4"/>
    </row>
    <row r="400" spans="1:12" ht="12.75">
      <c r="A400" s="131"/>
      <c r="C400" s="132"/>
      <c r="D400" s="132"/>
      <c r="E400" s="133"/>
      <c r="F400" s="76"/>
      <c r="G400" s="130"/>
      <c r="H400" s="126"/>
      <c r="I400" s="130"/>
      <c r="J400" s="134"/>
      <c r="K400" s="135"/>
      <c r="L400" s="136"/>
    </row>
    <row r="401" spans="1:12" ht="15.75">
      <c r="A401" s="137"/>
      <c r="C401" s="138"/>
      <c r="D401" s="76"/>
      <c r="E401" s="139"/>
      <c r="F401" s="140"/>
      <c r="G401" s="130"/>
      <c r="H401" s="126"/>
      <c r="I401" s="130"/>
      <c r="J401" s="137"/>
      <c r="L401" s="2"/>
    </row>
    <row r="402" spans="1:12" ht="15">
      <c r="A402" s="142"/>
      <c r="C402" s="138"/>
      <c r="D402" s="76"/>
      <c r="E402" s="139"/>
      <c r="F402" s="143"/>
      <c r="G402" s="130"/>
      <c r="H402" s="126"/>
      <c r="I402" s="130"/>
      <c r="J402" s="142"/>
      <c r="K402" s="135"/>
      <c r="L402" s="2"/>
    </row>
    <row r="403" spans="1:12" ht="15">
      <c r="A403" s="142"/>
      <c r="C403" s="138"/>
      <c r="D403" s="76"/>
      <c r="E403" s="139"/>
      <c r="F403" s="130"/>
      <c r="G403" s="130"/>
      <c r="H403" s="126"/>
      <c r="I403" s="130"/>
      <c r="J403" s="142"/>
      <c r="K403" s="130"/>
      <c r="L403" s="2"/>
    </row>
    <row r="404" spans="1:12" ht="12.75">
      <c r="A404" s="66"/>
      <c r="C404" s="76"/>
      <c r="D404" s="76"/>
      <c r="E404" s="139"/>
      <c r="F404" s="144"/>
      <c r="G404" s="66"/>
      <c r="H404" s="66"/>
      <c r="I404" s="145"/>
      <c r="J404" s="66"/>
      <c r="K404" s="136"/>
      <c r="L404" s="2"/>
    </row>
    <row r="405" ht="12.75">
      <c r="L405" s="2"/>
    </row>
    <row r="407" spans="1:10" ht="15.75">
      <c r="A407" s="149"/>
      <c r="F407" s="150"/>
      <c r="G407" s="149"/>
      <c r="H407" s="149"/>
      <c r="I407" s="137"/>
      <c r="J407" s="149"/>
    </row>
    <row r="408" spans="1:10" ht="12.75">
      <c r="A408" s="151"/>
      <c r="F408" s="130"/>
      <c r="G408" s="151"/>
      <c r="H408" s="151"/>
      <c r="I408" s="142"/>
      <c r="J408" s="151"/>
    </row>
    <row r="409" spans="1:12" ht="12.75">
      <c r="A409" s="151"/>
      <c r="F409" s="130"/>
      <c r="G409" s="151"/>
      <c r="H409" s="151"/>
      <c r="I409" s="142"/>
      <c r="J409" s="151"/>
      <c r="K409" s="4"/>
      <c r="L409" s="4"/>
    </row>
    <row r="411" spans="1:12" ht="15.75">
      <c r="A411" s="137"/>
      <c r="H411" s="137"/>
      <c r="I411" s="137"/>
      <c r="J411" s="149"/>
      <c r="K411" s="4"/>
      <c r="L411" s="4"/>
    </row>
    <row r="412" spans="1:12" ht="12.75">
      <c r="A412" s="142"/>
      <c r="H412" s="142"/>
      <c r="I412" s="142"/>
      <c r="J412" s="151"/>
      <c r="K412" s="4"/>
      <c r="L412" s="4"/>
    </row>
    <row r="413" spans="1:12" ht="12.75">
      <c r="A413" s="142"/>
      <c r="H413" s="142"/>
      <c r="I413" s="142"/>
      <c r="J413" s="151"/>
      <c r="K413" s="4"/>
      <c r="L413" s="4"/>
    </row>
    <row r="430" spans="1:12" ht="12.75">
      <c r="A430" s="134"/>
      <c r="E430" s="1"/>
      <c r="F430" s="145"/>
      <c r="G430" s="146"/>
      <c r="H430" s="134"/>
      <c r="I430" s="148"/>
      <c r="J430" s="141"/>
      <c r="K430" s="1"/>
      <c r="L430" s="4"/>
    </row>
    <row r="431" spans="1:12" ht="12.75">
      <c r="A431" s="134"/>
      <c r="E431" s="1"/>
      <c r="F431" s="145"/>
      <c r="G431" s="146"/>
      <c r="H431" s="134"/>
      <c r="I431" s="148"/>
      <c r="J431" s="141"/>
      <c r="K431" s="1"/>
      <c r="L431" s="4"/>
    </row>
    <row r="432" spans="1:12" ht="12.75">
      <c r="A432" s="134"/>
      <c r="E432" s="1"/>
      <c r="F432" s="145"/>
      <c r="G432" s="146"/>
      <c r="H432" s="134"/>
      <c r="I432" s="148"/>
      <c r="J432" s="141"/>
      <c r="K432" s="1"/>
      <c r="L432" s="4"/>
    </row>
    <row r="433" spans="1:12" ht="12.75">
      <c r="A433" s="134"/>
      <c r="E433" s="1"/>
      <c r="F433" s="145"/>
      <c r="G433" s="146"/>
      <c r="H433" s="134"/>
      <c r="I433" s="148"/>
      <c r="J433" s="141"/>
      <c r="K433" s="1"/>
      <c r="L433" s="4"/>
    </row>
    <row r="434" spans="1:12" ht="12.75">
      <c r="A434" s="134"/>
      <c r="E434" s="1"/>
      <c r="F434" s="145"/>
      <c r="G434" s="146"/>
      <c r="H434" s="134"/>
      <c r="I434" s="148"/>
      <c r="J434" s="141"/>
      <c r="K434" s="1"/>
      <c r="L434" s="4"/>
    </row>
    <row r="435" spans="1:12" ht="12.75">
      <c r="A435" s="134"/>
      <c r="E435" s="1"/>
      <c r="F435" s="145"/>
      <c r="G435" s="146"/>
      <c r="H435" s="134"/>
      <c r="I435" s="148"/>
      <c r="J435" s="141"/>
      <c r="K435" s="1"/>
      <c r="L435" s="4"/>
    </row>
    <row r="436" spans="1:12" ht="12.75">
      <c r="A436" s="134"/>
      <c r="E436" s="1"/>
      <c r="F436" s="145"/>
      <c r="G436" s="146"/>
      <c r="H436" s="134"/>
      <c r="I436" s="148"/>
      <c r="J436" s="141"/>
      <c r="K436" s="1"/>
      <c r="L436" s="4"/>
    </row>
    <row r="437" spans="1:12" ht="12.75">
      <c r="A437" s="134"/>
      <c r="E437" s="1"/>
      <c r="F437" s="145"/>
      <c r="G437" s="146"/>
      <c r="H437" s="134"/>
      <c r="I437" s="148"/>
      <c r="J437" s="141"/>
      <c r="K437" s="1"/>
      <c r="L437" s="4"/>
    </row>
    <row r="438" spans="1:12" ht="12.75">
      <c r="A438" s="134"/>
      <c r="E438" s="1"/>
      <c r="F438" s="145"/>
      <c r="G438" s="146"/>
      <c r="H438" s="134"/>
      <c r="I438" s="148"/>
      <c r="J438" s="141"/>
      <c r="K438" s="1"/>
      <c r="L438" s="4"/>
    </row>
    <row r="439" spans="1:12" ht="12.75">
      <c r="A439" s="134"/>
      <c r="E439" s="1"/>
      <c r="F439" s="145"/>
      <c r="G439" s="146"/>
      <c r="H439" s="134"/>
      <c r="I439" s="148"/>
      <c r="J439" s="141"/>
      <c r="K439" s="1"/>
      <c r="L439" s="4"/>
    </row>
    <row r="440" spans="1:12" ht="12.75">
      <c r="A440" s="134"/>
      <c r="E440" s="1"/>
      <c r="F440" s="145"/>
      <c r="G440" s="146"/>
      <c r="H440" s="134"/>
      <c r="I440" s="148"/>
      <c r="J440" s="141"/>
      <c r="K440" s="1"/>
      <c r="L440" s="4"/>
    </row>
    <row r="441" spans="1:12" ht="12.75">
      <c r="A441" s="134"/>
      <c r="E441" s="1"/>
      <c r="F441" s="145"/>
      <c r="G441" s="146"/>
      <c r="H441" s="134"/>
      <c r="I441" s="148"/>
      <c r="J441" s="141"/>
      <c r="K441" s="1"/>
      <c r="L441" s="4"/>
    </row>
    <row r="442" spans="1:12" ht="12.75">
      <c r="A442" s="134"/>
      <c r="E442" s="1"/>
      <c r="F442" s="145"/>
      <c r="G442" s="146"/>
      <c r="H442" s="134"/>
      <c r="I442" s="148"/>
      <c r="J442" s="141"/>
      <c r="K442" s="1"/>
      <c r="L442" s="4"/>
    </row>
  </sheetData>
  <sheetProtection password="CC53" sheet="1" formatCells="0" formatColumns="0" formatRows="0" selectLockedCells="1"/>
  <autoFilter ref="C13:L404"/>
  <mergeCells count="20">
    <mergeCell ref="C396:H396"/>
    <mergeCell ref="H7:I7"/>
    <mergeCell ref="I394:J394"/>
    <mergeCell ref="C15:D15"/>
    <mergeCell ref="I395:J395"/>
    <mergeCell ref="C388:D388"/>
    <mergeCell ref="C372:D372"/>
    <mergeCell ref="C357:D357"/>
    <mergeCell ref="C349:D349"/>
    <mergeCell ref="C292:D292"/>
    <mergeCell ref="C378:D378"/>
    <mergeCell ref="C383:D383"/>
    <mergeCell ref="C281:D281"/>
    <mergeCell ref="C98:D98"/>
    <mergeCell ref="C178:D178"/>
    <mergeCell ref="C14:D14"/>
    <mergeCell ref="H9:I9"/>
    <mergeCell ref="H11:I11"/>
    <mergeCell ref="C255:D255"/>
    <mergeCell ref="C222:D222"/>
  </mergeCells>
  <printOptions horizontalCentered="1"/>
  <pageMargins left="0.2362204724409449" right="0.2362204724409449" top="0.5511811023622047" bottom="0.5511811023622047" header="0.5118110236220472" footer="0.31496062992125984"/>
  <pageSetup fitToHeight="0" fitToWidth="1" horizontalDpi="600" verticalDpi="600" orientation="landscape" paperSize="9" scale="91" r:id="rId3"/>
  <headerFooter alignWithMargins="0">
    <oddFooter>&amp;R&amp;9PÁG. &amp;P/&amp;N</oddFooter>
  </headerFooter>
  <legacyDrawing r:id="rId2"/>
</worksheet>
</file>

<file path=xl/worksheets/sheet2.xml><?xml version="1.0" encoding="utf-8"?>
<worksheet xmlns="http://schemas.openxmlformats.org/spreadsheetml/2006/main" xmlns:r="http://schemas.openxmlformats.org/officeDocument/2006/relationships">
  <dimension ref="A1:K35"/>
  <sheetViews>
    <sheetView tabSelected="1" view="pageBreakPreview" zoomScale="70" zoomScaleNormal="40" zoomScaleSheetLayoutView="70" workbookViewId="0" topLeftCell="A1">
      <selection activeCell="K30" sqref="K30"/>
    </sheetView>
  </sheetViews>
  <sheetFormatPr defaultColWidth="9.140625" defaultRowHeight="12.75"/>
  <cols>
    <col min="1" max="1" width="16.7109375" style="312" customWidth="1"/>
    <col min="2" max="2" width="65.57421875" style="312" customWidth="1"/>
    <col min="3" max="3" width="12.28125" style="319" customWidth="1"/>
    <col min="4" max="4" width="26.57421875" style="321" customWidth="1"/>
    <col min="5" max="5" width="25.7109375" style="312" customWidth="1"/>
    <col min="6" max="6" width="25.8515625" style="312" bestFit="1" customWidth="1"/>
    <col min="7" max="8" width="27.421875" style="312" bestFit="1" customWidth="1"/>
    <col min="9" max="9" width="29.140625" style="312" bestFit="1" customWidth="1"/>
    <col min="10" max="10" width="24.421875" style="312" customWidth="1"/>
    <col min="11" max="11" width="9.140625" style="312" customWidth="1"/>
    <col min="12" max="12" width="33.00390625" style="312" customWidth="1"/>
    <col min="13" max="16384" width="9.140625" style="312" customWidth="1"/>
  </cols>
  <sheetData>
    <row r="1" spans="1:9" s="306" customFormat="1" ht="30.75" customHeight="1">
      <c r="A1" s="305"/>
      <c r="B1" s="305"/>
      <c r="C1" s="305"/>
      <c r="D1" s="305"/>
      <c r="G1" s="305"/>
      <c r="H1" s="305"/>
      <c r="I1" s="305"/>
    </row>
    <row r="2" spans="1:9" s="306" customFormat="1" ht="22.5" customHeight="1">
      <c r="A2" s="154"/>
      <c r="B2" s="154"/>
      <c r="C2" s="154"/>
      <c r="D2" s="154"/>
      <c r="G2" s="154"/>
      <c r="H2" s="154"/>
      <c r="I2" s="154"/>
    </row>
    <row r="3" spans="3:7" s="306" customFormat="1" ht="9.75" customHeight="1">
      <c r="C3" s="154"/>
      <c r="D3" s="154"/>
      <c r="G3" s="66"/>
    </row>
    <row r="4" spans="1:9" s="306" customFormat="1" ht="18">
      <c r="A4" s="156"/>
      <c r="B4" s="156"/>
      <c r="C4" s="156"/>
      <c r="D4" s="156"/>
      <c r="G4" s="156"/>
      <c r="H4" s="156"/>
      <c r="I4" s="156"/>
    </row>
    <row r="5" spans="1:8" s="306" customFormat="1" ht="25.5" customHeight="1" thickBot="1">
      <c r="A5" s="66"/>
      <c r="B5" s="66"/>
      <c r="C5" s="307"/>
      <c r="D5" s="308"/>
      <c r="G5" s="66"/>
      <c r="H5" s="66"/>
    </row>
    <row r="6" spans="1:10" s="66" customFormat="1" ht="7.5" customHeight="1">
      <c r="A6" s="326"/>
      <c r="B6" s="327"/>
      <c r="C6" s="327"/>
      <c r="D6" s="327"/>
      <c r="E6" s="327"/>
      <c r="F6" s="327"/>
      <c r="G6" s="328"/>
      <c r="H6" s="328"/>
      <c r="I6" s="329"/>
      <c r="J6" s="330"/>
    </row>
    <row r="7" spans="1:10" s="309" customFormat="1" ht="15.75" customHeight="1">
      <c r="A7" s="158" t="s">
        <v>0</v>
      </c>
      <c r="B7" s="331" t="str">
        <f>Orçamento!F5</f>
        <v>ARENA - Amador Bueno</v>
      </c>
      <c r="C7" s="331"/>
      <c r="D7" s="331"/>
      <c r="E7" s="332" t="str">
        <f>Orçamento!$H$7</f>
        <v>Área de intervenção:</v>
      </c>
      <c r="F7" s="332"/>
      <c r="G7" s="332"/>
      <c r="H7" s="333">
        <f>Orçamento!$J$7</f>
        <v>9153.72</v>
      </c>
      <c r="I7" s="334"/>
      <c r="J7" s="335"/>
    </row>
    <row r="8" spans="1:10" s="309" customFormat="1" ht="6" customHeight="1">
      <c r="A8" s="336"/>
      <c r="B8" s="335"/>
      <c r="C8" s="337"/>
      <c r="D8" s="337"/>
      <c r="E8" s="338"/>
      <c r="F8" s="339"/>
      <c r="G8" s="339"/>
      <c r="H8" s="159"/>
      <c r="I8" s="167"/>
      <c r="J8" s="335"/>
    </row>
    <row r="9" spans="1:10" s="309" customFormat="1" ht="15.75" customHeight="1">
      <c r="A9" s="168" t="str">
        <f>CONCATENATE(Orçamento!C7," ",Orçamento!F7)</f>
        <v>Tipo de Intervenção:  CONSTRUÇÃO</v>
      </c>
      <c r="B9" s="337"/>
      <c r="C9" s="161"/>
      <c r="D9" s="161"/>
      <c r="E9" s="340" t="str">
        <f>Orçamento!$H$9</f>
        <v>Investimento:</v>
      </c>
      <c r="F9" s="340"/>
      <c r="G9" s="340"/>
      <c r="H9" s="341" t="e">
        <f>Orçamento!$J$9</f>
        <v>#VALUE!</v>
      </c>
      <c r="I9" s="342"/>
      <c r="J9" s="335"/>
    </row>
    <row r="10" spans="1:10" s="309" customFormat="1" ht="6" customHeight="1">
      <c r="A10" s="158"/>
      <c r="B10" s="337"/>
      <c r="C10" s="337"/>
      <c r="D10" s="337"/>
      <c r="E10" s="338"/>
      <c r="F10" s="339"/>
      <c r="G10" s="339"/>
      <c r="H10" s="159"/>
      <c r="I10" s="167"/>
      <c r="J10" s="335"/>
    </row>
    <row r="11" spans="1:10" s="309" customFormat="1" ht="15.75" customHeight="1">
      <c r="A11" s="168" t="s">
        <v>3</v>
      </c>
      <c r="B11" s="161" t="str">
        <f>Orçamento!F9</f>
        <v>Amador Bueno, Itapevi - SP</v>
      </c>
      <c r="C11" s="166"/>
      <c r="D11" s="166"/>
      <c r="E11" s="332" t="str">
        <f>Orçamento!$H$11</f>
        <v>Invest./Área:</v>
      </c>
      <c r="F11" s="332"/>
      <c r="G11" s="332"/>
      <c r="H11" s="343" t="e">
        <f>Orçamento!$J$11</f>
        <v>#VALUE!</v>
      </c>
      <c r="I11" s="344"/>
      <c r="J11" s="335"/>
    </row>
    <row r="12" spans="1:10" s="66" customFormat="1" ht="6" customHeight="1" thickBot="1">
      <c r="A12" s="345"/>
      <c r="B12" s="346"/>
      <c r="C12" s="346"/>
      <c r="D12" s="346"/>
      <c r="E12" s="346"/>
      <c r="F12" s="346"/>
      <c r="G12" s="347"/>
      <c r="H12" s="347"/>
      <c r="I12" s="348"/>
      <c r="J12" s="330"/>
    </row>
    <row r="13" spans="1:10" s="310" customFormat="1" ht="12" customHeight="1" thickBot="1">
      <c r="A13" s="349"/>
      <c r="B13" s="327"/>
      <c r="C13" s="327"/>
      <c r="D13" s="327"/>
      <c r="E13" s="327"/>
      <c r="F13" s="327"/>
      <c r="G13" s="327"/>
      <c r="H13" s="327"/>
      <c r="I13" s="327"/>
      <c r="J13" s="350"/>
    </row>
    <row r="14" spans="1:10" s="311" customFormat="1" ht="18.75" thickBot="1">
      <c r="A14" s="351" t="s">
        <v>27</v>
      </c>
      <c r="B14" s="352" t="s">
        <v>28</v>
      </c>
      <c r="C14" s="353" t="s">
        <v>29</v>
      </c>
      <c r="D14" s="353" t="s">
        <v>30</v>
      </c>
      <c r="E14" s="354">
        <v>1</v>
      </c>
      <c r="F14" s="354">
        <f>E14+1</f>
        <v>2</v>
      </c>
      <c r="G14" s="354">
        <f>F14+1</f>
        <v>3</v>
      </c>
      <c r="H14" s="354">
        <f>G14+1</f>
        <v>4</v>
      </c>
      <c r="I14" s="354">
        <f>H14+1</f>
        <v>5</v>
      </c>
      <c r="J14" s="355"/>
    </row>
    <row r="15" spans="1:10" s="311" customFormat="1" ht="18.75" thickBot="1">
      <c r="A15" s="351"/>
      <c r="B15" s="352"/>
      <c r="C15" s="356" t="s">
        <v>9</v>
      </c>
      <c r="D15" s="356" t="s">
        <v>10</v>
      </c>
      <c r="E15" s="357"/>
      <c r="F15" s="357"/>
      <c r="G15" s="357"/>
      <c r="H15" s="357"/>
      <c r="I15" s="357"/>
      <c r="J15" s="355"/>
    </row>
    <row r="16" spans="1:10" ht="12" customHeight="1" thickBot="1">
      <c r="A16" s="358"/>
      <c r="B16" s="358"/>
      <c r="C16" s="358"/>
      <c r="D16" s="358"/>
      <c r="E16" s="358"/>
      <c r="F16" s="358"/>
      <c r="G16" s="359"/>
      <c r="H16" s="359"/>
      <c r="I16" s="359"/>
      <c r="J16" s="360"/>
    </row>
    <row r="17" spans="1:10" ht="44.25" customHeight="1">
      <c r="A17" s="361">
        <f>Orçamento!C14</f>
        <v>1</v>
      </c>
      <c r="B17" s="362" t="str">
        <f>VLOOKUP(A17,Orçamento!$C$14:$K$393,4,FALSE)</f>
        <v>ARENA AMADOR BUENO</v>
      </c>
      <c r="C17" s="362" t="e">
        <f>VLOOKUP(B17,Orçamento!$F$14:$K$393,6,FALSE)</f>
        <v>#DIV/0!</v>
      </c>
      <c r="D17" s="363" t="e">
        <f>Orçamento!I395</f>
        <v>#VALUE!</v>
      </c>
      <c r="E17" s="313">
        <v>0</v>
      </c>
      <c r="F17" s="314">
        <v>0</v>
      </c>
      <c r="G17" s="314">
        <v>0</v>
      </c>
      <c r="H17" s="314">
        <v>0</v>
      </c>
      <c r="I17" s="315">
        <v>0</v>
      </c>
      <c r="J17" s="364">
        <f>SUM(E17:I17)</f>
        <v>0</v>
      </c>
    </row>
    <row r="18" spans="1:10" ht="44.25" customHeight="1" thickBot="1">
      <c r="A18" s="365"/>
      <c r="B18" s="366"/>
      <c r="C18" s="366"/>
      <c r="D18" s="367"/>
      <c r="E18" s="368" t="e">
        <f>ROUND((E17*$D17),2)</f>
        <v>#VALUE!</v>
      </c>
      <c r="F18" s="369" t="e">
        <f>ROUND((F17*$D17),2)</f>
        <v>#VALUE!</v>
      </c>
      <c r="G18" s="369" t="e">
        <f>ROUND((G17*$D17),2)</f>
        <v>#VALUE!</v>
      </c>
      <c r="H18" s="369" t="e">
        <f>ROUND((H17*$D17),2)</f>
        <v>#VALUE!</v>
      </c>
      <c r="I18" s="370" t="e">
        <f>ROUND((I17*$D17),2)</f>
        <v>#VALUE!</v>
      </c>
      <c r="J18" s="371" t="e">
        <f>E18+F18+G18+H18+I18</f>
        <v>#VALUE!</v>
      </c>
    </row>
    <row r="19" spans="1:11" s="316" customFormat="1" ht="12" customHeight="1" thickBot="1">
      <c r="A19" s="372"/>
      <c r="B19" s="373"/>
      <c r="C19" s="374"/>
      <c r="D19" s="374"/>
      <c r="E19" s="375"/>
      <c r="F19" s="375"/>
      <c r="G19" s="375"/>
      <c r="H19" s="375"/>
      <c r="I19" s="375"/>
      <c r="J19" s="360"/>
      <c r="K19" s="312"/>
    </row>
    <row r="20" spans="1:10" ht="9.75" customHeight="1" thickBot="1">
      <c r="A20" s="376"/>
      <c r="B20" s="377" t="s">
        <v>31</v>
      </c>
      <c r="C20" s="378" t="e">
        <f>SUM(C17:C18)</f>
        <v>#DIV/0!</v>
      </c>
      <c r="D20" s="379" t="e">
        <f>SUM(D17:D18)</f>
        <v>#VALUE!</v>
      </c>
      <c r="E20" s="380" t="e">
        <f>(E18)</f>
        <v>#VALUE!</v>
      </c>
      <c r="F20" s="380" t="e">
        <f>(F18)</f>
        <v>#VALUE!</v>
      </c>
      <c r="G20" s="380" t="e">
        <f>(G18)</f>
        <v>#VALUE!</v>
      </c>
      <c r="H20" s="380" t="e">
        <f>(H18)</f>
        <v>#VALUE!</v>
      </c>
      <c r="I20" s="380" t="e">
        <f>(I18)</f>
        <v>#VALUE!</v>
      </c>
      <c r="J20" s="360"/>
    </row>
    <row r="21" spans="1:10" ht="9.75" customHeight="1" thickBot="1">
      <c r="A21" s="376"/>
      <c r="B21" s="377"/>
      <c r="C21" s="378"/>
      <c r="D21" s="379"/>
      <c r="E21" s="380"/>
      <c r="F21" s="380"/>
      <c r="G21" s="380"/>
      <c r="H21" s="380"/>
      <c r="I21" s="380"/>
      <c r="J21" s="360"/>
    </row>
    <row r="22" spans="1:10" ht="9.75" customHeight="1" thickBot="1">
      <c r="A22" s="376"/>
      <c r="B22" s="377"/>
      <c r="C22" s="378"/>
      <c r="D22" s="379"/>
      <c r="E22" s="380"/>
      <c r="F22" s="380"/>
      <c r="G22" s="380"/>
      <c r="H22" s="380"/>
      <c r="I22" s="380"/>
      <c r="J22" s="360"/>
    </row>
    <row r="23" spans="1:10" ht="13.5" customHeight="1" thickBot="1">
      <c r="A23" s="381"/>
      <c r="B23" s="382" t="s">
        <v>32</v>
      </c>
      <c r="C23" s="383" t="e">
        <f>D23/D20</f>
        <v>#VALUE!</v>
      </c>
      <c r="D23" s="384" t="e">
        <f>SUM(E20:I22)</f>
        <v>#VALUE!</v>
      </c>
      <c r="E23" s="385" t="e">
        <f>E20</f>
        <v>#VALUE!</v>
      </c>
      <c r="F23" s="386" t="e">
        <f>F20+E23</f>
        <v>#VALUE!</v>
      </c>
      <c r="G23" s="386" t="e">
        <f>G20+F23</f>
        <v>#VALUE!</v>
      </c>
      <c r="H23" s="386" t="e">
        <f>H20+G23</f>
        <v>#VALUE!</v>
      </c>
      <c r="I23" s="386" t="e">
        <f>I20+H23</f>
        <v>#VALUE!</v>
      </c>
      <c r="J23" s="360"/>
    </row>
    <row r="24" spans="1:10" ht="13.5" customHeight="1" thickBot="1">
      <c r="A24" s="381"/>
      <c r="B24" s="382"/>
      <c r="C24" s="383"/>
      <c r="D24" s="384"/>
      <c r="E24" s="385"/>
      <c r="F24" s="386"/>
      <c r="G24" s="386"/>
      <c r="H24" s="386"/>
      <c r="I24" s="386"/>
      <c r="J24" s="360"/>
    </row>
    <row r="25" spans="1:10" ht="13.5" customHeight="1" thickBot="1">
      <c r="A25" s="387"/>
      <c r="B25" s="388"/>
      <c r="C25" s="389"/>
      <c r="D25" s="390"/>
      <c r="E25" s="391"/>
      <c r="F25" s="392"/>
      <c r="G25" s="392"/>
      <c r="H25" s="392"/>
      <c r="I25" s="392"/>
      <c r="J25" s="360"/>
    </row>
    <row r="26" spans="1:5" ht="12.75">
      <c r="A26" s="317"/>
      <c r="B26" s="317"/>
      <c r="C26" s="317"/>
      <c r="D26" s="317"/>
      <c r="E26" s="317"/>
    </row>
    <row r="27" spans="1:5" ht="14.25">
      <c r="A27" s="318"/>
      <c r="B27" s="317"/>
      <c r="C27" s="317"/>
      <c r="D27" s="317"/>
      <c r="E27" s="317"/>
    </row>
    <row r="28" ht="12.75">
      <c r="D28" s="319"/>
    </row>
    <row r="29" ht="12.75">
      <c r="B29" s="320"/>
    </row>
    <row r="30" ht="12.75">
      <c r="B30" s="320"/>
    </row>
    <row r="31" spans="2:5" ht="12.75" customHeight="1">
      <c r="B31" s="76"/>
      <c r="C31" s="134"/>
      <c r="D31" s="134"/>
      <c r="E31" s="75"/>
    </row>
    <row r="32" spans="2:5" ht="15.75">
      <c r="B32" s="150"/>
      <c r="C32" s="137"/>
      <c r="D32" s="137"/>
      <c r="E32" s="322"/>
    </row>
    <row r="33" spans="2:5" ht="12.75" customHeight="1">
      <c r="B33" s="130"/>
      <c r="C33" s="142"/>
      <c r="D33" s="142"/>
      <c r="E33" s="323"/>
    </row>
    <row r="34" spans="2:5" ht="12.75" customHeight="1">
      <c r="B34" s="130"/>
      <c r="C34" s="142"/>
      <c r="D34" s="142"/>
      <c r="E34" s="324"/>
    </row>
    <row r="35" spans="2:5" ht="12.75">
      <c r="B35" s="144"/>
      <c r="C35" s="325"/>
      <c r="D35" s="325"/>
      <c r="E35" s="324"/>
    </row>
  </sheetData>
  <sheetProtection password="CC53" sheet="1" formatCells="0" formatColumns="0" formatRows="0" selectLockedCells="1"/>
  <mergeCells count="37">
    <mergeCell ref="E14:E15"/>
    <mergeCell ref="F14:F15"/>
    <mergeCell ref="G14:G15"/>
    <mergeCell ref="H14:H15"/>
    <mergeCell ref="I14:I15"/>
    <mergeCell ref="E11:G11"/>
    <mergeCell ref="H11:I11"/>
    <mergeCell ref="E9:G9"/>
    <mergeCell ref="H9:I9"/>
    <mergeCell ref="B7:D7"/>
    <mergeCell ref="E7:G7"/>
    <mergeCell ref="H7:I7"/>
    <mergeCell ref="A17:A18"/>
    <mergeCell ref="B17:B18"/>
    <mergeCell ref="C17:C18"/>
    <mergeCell ref="D17:D18"/>
    <mergeCell ref="A14:A15"/>
    <mergeCell ref="B14:B15"/>
    <mergeCell ref="I20:I22"/>
    <mergeCell ref="A20:A22"/>
    <mergeCell ref="B20:B22"/>
    <mergeCell ref="C20:C22"/>
    <mergeCell ref="D20:D22"/>
    <mergeCell ref="E20:E22"/>
    <mergeCell ref="F20:F22"/>
    <mergeCell ref="G20:G22"/>
    <mergeCell ref="H20:H22"/>
    <mergeCell ref="G23:G25"/>
    <mergeCell ref="C35:D35"/>
    <mergeCell ref="I23:I25"/>
    <mergeCell ref="H23:H25"/>
    <mergeCell ref="A23:A25"/>
    <mergeCell ref="B23:B25"/>
    <mergeCell ref="C23:C25"/>
    <mergeCell ref="D23:D25"/>
    <mergeCell ref="E23:E25"/>
    <mergeCell ref="F23:F25"/>
  </mergeCells>
  <conditionalFormatting sqref="E17:F17">
    <cfRule type="cellIs" priority="11645" dxfId="1" operator="equal" stopIfTrue="1">
      <formula>0</formula>
    </cfRule>
    <cfRule type="cellIs" priority="11646" dxfId="134" operator="greaterThan" stopIfTrue="1">
      <formula>0.0000001</formula>
    </cfRule>
  </conditionalFormatting>
  <conditionalFormatting sqref="E17">
    <cfRule type="cellIs" priority="11629" dxfId="1" operator="equal" stopIfTrue="1">
      <formula>0</formula>
    </cfRule>
    <cfRule type="cellIs" priority="11630" dxfId="135" operator="greaterThan" stopIfTrue="1">
      <formula>0.0000001</formula>
    </cfRule>
  </conditionalFormatting>
  <conditionalFormatting sqref="E17">
    <cfRule type="cellIs" priority="11627" dxfId="1" operator="equal" stopIfTrue="1">
      <formula>0</formula>
    </cfRule>
    <cfRule type="cellIs" priority="11628" dxfId="135" operator="greaterThan" stopIfTrue="1">
      <formula>0.0000001</formula>
    </cfRule>
  </conditionalFormatting>
  <conditionalFormatting sqref="E17">
    <cfRule type="cellIs" priority="11625" dxfId="1" operator="equal" stopIfTrue="1">
      <formula>0</formula>
    </cfRule>
    <cfRule type="cellIs" priority="11626" dxfId="136" operator="greaterThan" stopIfTrue="1">
      <formula>0.0000001</formula>
    </cfRule>
  </conditionalFormatting>
  <conditionalFormatting sqref="E17">
    <cfRule type="cellIs" priority="11623" dxfId="1" operator="equal" stopIfTrue="1">
      <formula>0</formula>
    </cfRule>
    <cfRule type="cellIs" priority="11624" dxfId="136" operator="greaterThan" stopIfTrue="1">
      <formula>0.0000001</formula>
    </cfRule>
  </conditionalFormatting>
  <conditionalFormatting sqref="E17">
    <cfRule type="cellIs" priority="11621" dxfId="1" operator="equal" stopIfTrue="1">
      <formula>0</formula>
    </cfRule>
    <cfRule type="cellIs" priority="11622" dxfId="135" operator="greaterThan" stopIfTrue="1">
      <formula>0.0000001</formula>
    </cfRule>
  </conditionalFormatting>
  <conditionalFormatting sqref="E17">
    <cfRule type="cellIs" priority="11619" dxfId="1" operator="equal" stopIfTrue="1">
      <formula>0</formula>
    </cfRule>
    <cfRule type="cellIs" priority="11620" dxfId="136" operator="greaterThan" stopIfTrue="1">
      <formula>0.0000001</formula>
    </cfRule>
  </conditionalFormatting>
  <conditionalFormatting sqref="E17">
    <cfRule type="cellIs" priority="11617" dxfId="1" operator="equal" stopIfTrue="1">
      <formula>0</formula>
    </cfRule>
    <cfRule type="cellIs" priority="11618" dxfId="136" operator="greaterThan" stopIfTrue="1">
      <formula>0.0000001</formula>
    </cfRule>
  </conditionalFormatting>
  <conditionalFormatting sqref="F17">
    <cfRule type="cellIs" priority="11349" dxfId="1" operator="equal" stopIfTrue="1">
      <formula>0</formula>
    </cfRule>
    <cfRule type="cellIs" priority="11350" dxfId="135" operator="greaterThan" stopIfTrue="1">
      <formula>0.0000001</formula>
    </cfRule>
  </conditionalFormatting>
  <conditionalFormatting sqref="F17">
    <cfRule type="cellIs" priority="11347" dxfId="1" operator="equal" stopIfTrue="1">
      <formula>0</formula>
    </cfRule>
    <cfRule type="cellIs" priority="11348" dxfId="135" operator="greaterThan" stopIfTrue="1">
      <formula>0.0000001</formula>
    </cfRule>
  </conditionalFormatting>
  <conditionalFormatting sqref="F17">
    <cfRule type="cellIs" priority="11345" dxfId="1" operator="equal" stopIfTrue="1">
      <formula>0</formula>
    </cfRule>
    <cfRule type="cellIs" priority="11346" dxfId="136" operator="greaterThan" stopIfTrue="1">
      <formula>0.0000001</formula>
    </cfRule>
  </conditionalFormatting>
  <conditionalFormatting sqref="F17">
    <cfRule type="cellIs" priority="11343" dxfId="1" operator="equal" stopIfTrue="1">
      <formula>0</formula>
    </cfRule>
    <cfRule type="cellIs" priority="11344" dxfId="136" operator="greaterThan" stopIfTrue="1">
      <formula>0.0000001</formula>
    </cfRule>
  </conditionalFormatting>
  <conditionalFormatting sqref="F17">
    <cfRule type="cellIs" priority="11341" dxfId="1" operator="equal" stopIfTrue="1">
      <formula>0</formula>
    </cfRule>
    <cfRule type="cellIs" priority="11342" dxfId="135" operator="greaterThan" stopIfTrue="1">
      <formula>0.0000001</formula>
    </cfRule>
  </conditionalFormatting>
  <conditionalFormatting sqref="F17">
    <cfRule type="cellIs" priority="11339" dxfId="1" operator="equal" stopIfTrue="1">
      <formula>0</formula>
    </cfRule>
    <cfRule type="cellIs" priority="11340" dxfId="136" operator="greaterThan" stopIfTrue="1">
      <formula>0.0000001</formula>
    </cfRule>
  </conditionalFormatting>
  <conditionalFormatting sqref="F17">
    <cfRule type="cellIs" priority="11337" dxfId="1" operator="equal" stopIfTrue="1">
      <formula>0</formula>
    </cfRule>
    <cfRule type="cellIs" priority="11338" dxfId="136" operator="greaterThan" stopIfTrue="1">
      <formula>0.0000001</formula>
    </cfRule>
  </conditionalFormatting>
  <conditionalFormatting sqref="F17">
    <cfRule type="cellIs" priority="11069" dxfId="1" operator="equal" stopIfTrue="1">
      <formula>0</formula>
    </cfRule>
    <cfRule type="cellIs" priority="11070" dxfId="135" operator="greaterThan" stopIfTrue="1">
      <formula>0.0000001</formula>
    </cfRule>
  </conditionalFormatting>
  <conditionalFormatting sqref="F17">
    <cfRule type="cellIs" priority="11067" dxfId="1" operator="equal" stopIfTrue="1">
      <formula>0</formula>
    </cfRule>
    <cfRule type="cellIs" priority="11068" dxfId="135" operator="greaterThan" stopIfTrue="1">
      <formula>0.0000001</formula>
    </cfRule>
  </conditionalFormatting>
  <conditionalFormatting sqref="F17">
    <cfRule type="cellIs" priority="11065" dxfId="1" operator="equal" stopIfTrue="1">
      <formula>0</formula>
    </cfRule>
    <cfRule type="cellIs" priority="11066" dxfId="136" operator="greaterThan" stopIfTrue="1">
      <formula>0.0000001</formula>
    </cfRule>
  </conditionalFormatting>
  <conditionalFormatting sqref="F17">
    <cfRule type="cellIs" priority="11063" dxfId="1" operator="equal" stopIfTrue="1">
      <formula>0</formula>
    </cfRule>
    <cfRule type="cellIs" priority="11064" dxfId="136" operator="greaterThan" stopIfTrue="1">
      <formula>0.0000001</formula>
    </cfRule>
  </conditionalFormatting>
  <conditionalFormatting sqref="F17">
    <cfRule type="cellIs" priority="11061" dxfId="1" operator="equal" stopIfTrue="1">
      <formula>0</formula>
    </cfRule>
    <cfRule type="cellIs" priority="11062" dxfId="135" operator="greaterThan" stopIfTrue="1">
      <formula>0.0000001</formula>
    </cfRule>
  </conditionalFormatting>
  <conditionalFormatting sqref="F17">
    <cfRule type="cellIs" priority="11059" dxfId="1" operator="equal" stopIfTrue="1">
      <formula>0</formula>
    </cfRule>
    <cfRule type="cellIs" priority="11060" dxfId="136" operator="greaterThan" stopIfTrue="1">
      <formula>0.0000001</formula>
    </cfRule>
  </conditionalFormatting>
  <conditionalFormatting sqref="F17">
    <cfRule type="cellIs" priority="11057" dxfId="1" operator="equal" stopIfTrue="1">
      <formula>0</formula>
    </cfRule>
    <cfRule type="cellIs" priority="11058" dxfId="136" operator="greaterThan" stopIfTrue="1">
      <formula>0.0000001</formula>
    </cfRule>
  </conditionalFormatting>
  <conditionalFormatting sqref="H17">
    <cfRule type="cellIs" priority="5725" dxfId="1" operator="equal" stopIfTrue="1">
      <formula>0</formula>
    </cfRule>
    <cfRule type="cellIs" priority="5726" dxfId="135" operator="greaterThan" stopIfTrue="1">
      <formula>0.0000001</formula>
    </cfRule>
  </conditionalFormatting>
  <conditionalFormatting sqref="H17">
    <cfRule type="cellIs" priority="5723" dxfId="1" operator="equal" stopIfTrue="1">
      <formula>0</formula>
    </cfRule>
    <cfRule type="cellIs" priority="5724" dxfId="136" operator="greaterThan" stopIfTrue="1">
      <formula>0.0000001</formula>
    </cfRule>
  </conditionalFormatting>
  <conditionalFormatting sqref="H17">
    <cfRule type="cellIs" priority="5721" dxfId="1" operator="equal" stopIfTrue="1">
      <formula>0</formula>
    </cfRule>
    <cfRule type="cellIs" priority="5722" dxfId="136" operator="greaterThan" stopIfTrue="1">
      <formula>0.0000001</formula>
    </cfRule>
  </conditionalFormatting>
  <conditionalFormatting sqref="H17">
    <cfRule type="cellIs" priority="5719" dxfId="1" operator="equal" stopIfTrue="1">
      <formula>0</formula>
    </cfRule>
    <cfRule type="cellIs" priority="5720" dxfId="135" operator="greaterThan" stopIfTrue="1">
      <formula>0.0000001</formula>
    </cfRule>
  </conditionalFormatting>
  <conditionalFormatting sqref="H17">
    <cfRule type="cellIs" priority="5715" dxfId="1" operator="equal" stopIfTrue="1">
      <formula>0</formula>
    </cfRule>
    <cfRule type="cellIs" priority="5716" dxfId="136" operator="greaterThan" stopIfTrue="1">
      <formula>0.0000001</formula>
    </cfRule>
  </conditionalFormatting>
  <conditionalFormatting sqref="H17">
    <cfRule type="cellIs" priority="5641" dxfId="1" operator="equal" stopIfTrue="1">
      <formula>0</formula>
    </cfRule>
    <cfRule type="cellIs" priority="5642" dxfId="135" operator="greaterThan" stopIfTrue="1">
      <formula>0.0000001</formula>
    </cfRule>
  </conditionalFormatting>
  <conditionalFormatting sqref="H17">
    <cfRule type="cellIs" priority="5639" dxfId="1" operator="equal" stopIfTrue="1">
      <formula>0</formula>
    </cfRule>
    <cfRule type="cellIs" priority="5640" dxfId="136" operator="greaterThan" stopIfTrue="1">
      <formula>0.0000001</formula>
    </cfRule>
  </conditionalFormatting>
  <conditionalFormatting sqref="H17">
    <cfRule type="cellIs" priority="5637" dxfId="1" operator="equal" stopIfTrue="1">
      <formula>0</formula>
    </cfRule>
    <cfRule type="cellIs" priority="5638" dxfId="136" operator="greaterThan" stopIfTrue="1">
      <formula>0.0000001</formula>
    </cfRule>
  </conditionalFormatting>
  <conditionalFormatting sqref="G17">
    <cfRule type="cellIs" priority="6017" dxfId="1" operator="equal" stopIfTrue="1">
      <formula>0</formula>
    </cfRule>
    <cfRule type="cellIs" priority="6018" dxfId="135" operator="greaterThan" stopIfTrue="1">
      <formula>0.0000001</formula>
    </cfRule>
  </conditionalFormatting>
  <conditionalFormatting sqref="G17">
    <cfRule type="cellIs" priority="6013" dxfId="1" operator="equal" stopIfTrue="1">
      <formula>0</formula>
    </cfRule>
    <cfRule type="cellIs" priority="6014" dxfId="136" operator="greaterThan" stopIfTrue="1">
      <formula>0.0000001</formula>
    </cfRule>
  </conditionalFormatting>
  <conditionalFormatting sqref="G17">
    <cfRule type="cellIs" priority="6099" dxfId="1" operator="equal" stopIfTrue="1">
      <formula>0</formula>
    </cfRule>
    <cfRule type="cellIs" priority="6100" dxfId="136" operator="greaterThan" stopIfTrue="1">
      <formula>0.0000001</formula>
    </cfRule>
  </conditionalFormatting>
  <conditionalFormatting sqref="G17">
    <cfRule type="cellIs" priority="6015" dxfId="1" operator="equal" stopIfTrue="1">
      <formula>0</formula>
    </cfRule>
    <cfRule type="cellIs" priority="6016" dxfId="136" operator="greaterThan" stopIfTrue="1">
      <formula>0.0000001</formula>
    </cfRule>
  </conditionalFormatting>
  <conditionalFormatting sqref="G17">
    <cfRule type="cellIs" priority="6109" dxfId="1" operator="equal" stopIfTrue="1">
      <formula>0</formula>
    </cfRule>
    <cfRule type="cellIs" priority="6110" dxfId="135" operator="greaterThan" stopIfTrue="1">
      <formula>0.0000001</formula>
    </cfRule>
  </conditionalFormatting>
  <conditionalFormatting sqref="G17">
    <cfRule type="cellIs" priority="6107" dxfId="1" operator="equal" stopIfTrue="1">
      <formula>0</formula>
    </cfRule>
    <cfRule type="cellIs" priority="6108" dxfId="135" operator="greaterThan" stopIfTrue="1">
      <formula>0.0000001</formula>
    </cfRule>
  </conditionalFormatting>
  <conditionalFormatting sqref="G17">
    <cfRule type="cellIs" priority="6105" dxfId="1" operator="equal" stopIfTrue="1">
      <formula>0</formula>
    </cfRule>
    <cfRule type="cellIs" priority="6106" dxfId="136" operator="greaterThan" stopIfTrue="1">
      <formula>0.0000001</formula>
    </cfRule>
  </conditionalFormatting>
  <conditionalFormatting sqref="G17">
    <cfRule type="cellIs" priority="6103" dxfId="1" operator="equal" stopIfTrue="1">
      <formula>0</formula>
    </cfRule>
    <cfRule type="cellIs" priority="6104" dxfId="136" operator="greaterThan" stopIfTrue="1">
      <formula>0.0000001</formula>
    </cfRule>
  </conditionalFormatting>
  <conditionalFormatting sqref="G17">
    <cfRule type="cellIs" priority="6101" dxfId="1" operator="equal" stopIfTrue="1">
      <formula>0</formula>
    </cfRule>
    <cfRule type="cellIs" priority="6102" dxfId="135" operator="greaterThan" stopIfTrue="1">
      <formula>0.0000001</formula>
    </cfRule>
  </conditionalFormatting>
  <conditionalFormatting sqref="G17">
    <cfRule type="cellIs" priority="6097" dxfId="1" operator="equal" stopIfTrue="1">
      <formula>0</formula>
    </cfRule>
    <cfRule type="cellIs" priority="6098" dxfId="136" operator="greaterThan" stopIfTrue="1">
      <formula>0.0000001</formula>
    </cfRule>
  </conditionalFormatting>
  <conditionalFormatting sqref="G17">
    <cfRule type="cellIs" priority="6025" dxfId="1" operator="equal" stopIfTrue="1">
      <formula>0</formula>
    </cfRule>
    <cfRule type="cellIs" priority="6026" dxfId="135" operator="greaterThan" stopIfTrue="1">
      <formula>0.0000001</formula>
    </cfRule>
  </conditionalFormatting>
  <conditionalFormatting sqref="G17">
    <cfRule type="cellIs" priority="6023" dxfId="1" operator="equal" stopIfTrue="1">
      <formula>0</formula>
    </cfRule>
    <cfRule type="cellIs" priority="6024" dxfId="135" operator="greaterThan" stopIfTrue="1">
      <formula>0.0000001</formula>
    </cfRule>
  </conditionalFormatting>
  <conditionalFormatting sqref="G17">
    <cfRule type="cellIs" priority="6021" dxfId="1" operator="equal" stopIfTrue="1">
      <formula>0</formula>
    </cfRule>
    <cfRule type="cellIs" priority="6022" dxfId="136" operator="greaterThan" stopIfTrue="1">
      <formula>0.0000001</formula>
    </cfRule>
  </conditionalFormatting>
  <conditionalFormatting sqref="G17">
    <cfRule type="cellIs" priority="6019" dxfId="1" operator="equal" stopIfTrue="1">
      <formula>0</formula>
    </cfRule>
    <cfRule type="cellIs" priority="6020" dxfId="136" operator="greaterThan" stopIfTrue="1">
      <formula>0.0000001</formula>
    </cfRule>
  </conditionalFormatting>
  <conditionalFormatting sqref="G17">
    <cfRule type="cellIs" priority="6111" dxfId="1" operator="equal" stopIfTrue="1">
      <formula>0</formula>
    </cfRule>
    <cfRule type="cellIs" priority="6112" dxfId="134" operator="greaterThan" stopIfTrue="1">
      <formula>0.0000001</formula>
    </cfRule>
  </conditionalFormatting>
  <conditionalFormatting sqref="H17">
    <cfRule type="cellIs" priority="5729" dxfId="1" operator="equal" stopIfTrue="1">
      <formula>0</formula>
    </cfRule>
    <cfRule type="cellIs" priority="5730" dxfId="134" operator="greaterThan" stopIfTrue="1">
      <formula>0.0000001</formula>
    </cfRule>
  </conditionalFormatting>
  <conditionalFormatting sqref="H17">
    <cfRule type="cellIs" priority="5727" dxfId="1" operator="equal" stopIfTrue="1">
      <formula>0</formula>
    </cfRule>
    <cfRule type="cellIs" priority="5728" dxfId="135" operator="greaterThan" stopIfTrue="1">
      <formula>0.0000001</formula>
    </cfRule>
  </conditionalFormatting>
  <conditionalFormatting sqref="H17">
    <cfRule type="cellIs" priority="5717" dxfId="1" operator="equal" stopIfTrue="1">
      <formula>0</formula>
    </cfRule>
    <cfRule type="cellIs" priority="5718" dxfId="136" operator="greaterThan" stopIfTrue="1">
      <formula>0.0000001</formula>
    </cfRule>
  </conditionalFormatting>
  <conditionalFormatting sqref="H17">
    <cfRule type="cellIs" priority="5643" dxfId="1" operator="equal" stopIfTrue="1">
      <formula>0</formula>
    </cfRule>
    <cfRule type="cellIs" priority="5644" dxfId="135" operator="greaterThan" stopIfTrue="1">
      <formula>0.0000001</formula>
    </cfRule>
  </conditionalFormatting>
  <conditionalFormatting sqref="H17">
    <cfRule type="cellIs" priority="5635" dxfId="1" operator="equal" stopIfTrue="1">
      <formula>0</formula>
    </cfRule>
    <cfRule type="cellIs" priority="5636" dxfId="135" operator="greaterThan" stopIfTrue="1">
      <formula>0.0000001</formula>
    </cfRule>
  </conditionalFormatting>
  <conditionalFormatting sqref="H17">
    <cfRule type="cellIs" priority="5633" dxfId="1" operator="equal" stopIfTrue="1">
      <formula>0</formula>
    </cfRule>
    <cfRule type="cellIs" priority="5634" dxfId="136" operator="greaterThan" stopIfTrue="1">
      <formula>0.0000001</formula>
    </cfRule>
  </conditionalFormatting>
  <conditionalFormatting sqref="H17">
    <cfRule type="cellIs" priority="5631" dxfId="1" operator="equal" stopIfTrue="1">
      <formula>0</formula>
    </cfRule>
    <cfRule type="cellIs" priority="5632" dxfId="136" operator="greaterThan" stopIfTrue="1">
      <formula>0.0000001</formula>
    </cfRule>
  </conditionalFormatting>
  <conditionalFormatting sqref="I17">
    <cfRule type="cellIs" priority="5347" dxfId="1" operator="equal" stopIfTrue="1">
      <formula>0</formula>
    </cfRule>
    <cfRule type="cellIs" priority="5348" dxfId="134" operator="greaterThan" stopIfTrue="1">
      <formula>0.0000001</formula>
    </cfRule>
  </conditionalFormatting>
  <conditionalFormatting sqref="I17">
    <cfRule type="cellIs" priority="5345" dxfId="1" operator="equal" stopIfTrue="1">
      <formula>0</formula>
    </cfRule>
    <cfRule type="cellIs" priority="5346" dxfId="135" operator="greaterThan" stopIfTrue="1">
      <formula>0.0000001</formula>
    </cfRule>
  </conditionalFormatting>
  <conditionalFormatting sqref="I17">
    <cfRule type="cellIs" priority="5343" dxfId="1" operator="equal" stopIfTrue="1">
      <formula>0</formula>
    </cfRule>
    <cfRule type="cellIs" priority="5344" dxfId="135" operator="greaterThan" stopIfTrue="1">
      <formula>0.0000001</formula>
    </cfRule>
  </conditionalFormatting>
  <conditionalFormatting sqref="I17">
    <cfRule type="cellIs" priority="5341" dxfId="1" operator="equal" stopIfTrue="1">
      <formula>0</formula>
    </cfRule>
    <cfRule type="cellIs" priority="5342" dxfId="136" operator="greaterThan" stopIfTrue="1">
      <formula>0.0000001</formula>
    </cfRule>
  </conditionalFormatting>
  <conditionalFormatting sqref="I17">
    <cfRule type="cellIs" priority="5339" dxfId="1" operator="equal" stopIfTrue="1">
      <formula>0</formula>
    </cfRule>
    <cfRule type="cellIs" priority="5340" dxfId="136" operator="greaterThan" stopIfTrue="1">
      <formula>0.0000001</formula>
    </cfRule>
  </conditionalFormatting>
  <conditionalFormatting sqref="I17">
    <cfRule type="cellIs" priority="5337" dxfId="1" operator="equal" stopIfTrue="1">
      <formula>0</formula>
    </cfRule>
    <cfRule type="cellIs" priority="5338" dxfId="135" operator="greaterThan" stopIfTrue="1">
      <formula>0.0000001</formula>
    </cfRule>
  </conditionalFormatting>
  <conditionalFormatting sqref="I17">
    <cfRule type="cellIs" priority="5335" dxfId="1" operator="equal" stopIfTrue="1">
      <formula>0</formula>
    </cfRule>
    <cfRule type="cellIs" priority="5336" dxfId="136" operator="greaterThan" stopIfTrue="1">
      <formula>0.0000001</formula>
    </cfRule>
  </conditionalFormatting>
  <conditionalFormatting sqref="I17">
    <cfRule type="cellIs" priority="5333" dxfId="1" operator="equal" stopIfTrue="1">
      <formula>0</formula>
    </cfRule>
    <cfRule type="cellIs" priority="5334" dxfId="136" operator="greaterThan" stopIfTrue="1">
      <formula>0.0000001</formula>
    </cfRule>
  </conditionalFormatting>
  <conditionalFormatting sqref="I17">
    <cfRule type="cellIs" priority="5261" dxfId="1" operator="equal" stopIfTrue="1">
      <formula>0</formula>
    </cfRule>
    <cfRule type="cellIs" priority="5262" dxfId="135" operator="greaterThan" stopIfTrue="1">
      <formula>0.0000001</formula>
    </cfRule>
  </conditionalFormatting>
  <conditionalFormatting sqref="I17">
    <cfRule type="cellIs" priority="5259" dxfId="1" operator="equal" stopIfTrue="1">
      <formula>0</formula>
    </cfRule>
    <cfRule type="cellIs" priority="5260" dxfId="135" operator="greaterThan" stopIfTrue="1">
      <formula>0.0000001</formula>
    </cfRule>
  </conditionalFormatting>
  <conditionalFormatting sqref="I17">
    <cfRule type="cellIs" priority="5257" dxfId="1" operator="equal" stopIfTrue="1">
      <formula>0</formula>
    </cfRule>
    <cfRule type="cellIs" priority="5258" dxfId="136" operator="greaterThan" stopIfTrue="1">
      <formula>0.0000001</formula>
    </cfRule>
  </conditionalFormatting>
  <conditionalFormatting sqref="I17">
    <cfRule type="cellIs" priority="5255" dxfId="1" operator="equal" stopIfTrue="1">
      <formula>0</formula>
    </cfRule>
    <cfRule type="cellIs" priority="5256" dxfId="136" operator="greaterThan" stopIfTrue="1">
      <formula>0.0000001</formula>
    </cfRule>
  </conditionalFormatting>
  <conditionalFormatting sqref="I17">
    <cfRule type="cellIs" priority="5253" dxfId="1" operator="equal" stopIfTrue="1">
      <formula>0</formula>
    </cfRule>
    <cfRule type="cellIs" priority="5254" dxfId="135" operator="greaterThan" stopIfTrue="1">
      <formula>0.0000001</formula>
    </cfRule>
  </conditionalFormatting>
  <conditionalFormatting sqref="I17">
    <cfRule type="cellIs" priority="5251" dxfId="1" operator="equal" stopIfTrue="1">
      <formula>0</formula>
    </cfRule>
    <cfRule type="cellIs" priority="5252" dxfId="136" operator="greaterThan" stopIfTrue="1">
      <formula>0.0000001</formula>
    </cfRule>
  </conditionalFormatting>
  <conditionalFormatting sqref="I17">
    <cfRule type="cellIs" priority="5249" dxfId="1" operator="equal" stopIfTrue="1">
      <formula>0</formula>
    </cfRule>
    <cfRule type="cellIs" priority="5250" dxfId="136" operator="greaterThan" stopIfTrue="1">
      <formula>0.0000001</formula>
    </cfRule>
  </conditionalFormatting>
  <printOptions horizontalCentered="1"/>
  <pageMargins left="0.3937007874015748" right="0.3937007874015748" top="0.35433070866141736" bottom="0.35433070866141736" header="0.31496062992125984" footer="0.31496062992125984"/>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dc:creator>
  <cp:keywords/>
  <dc:description/>
  <cp:lastModifiedBy>Erica Sotto</cp:lastModifiedBy>
  <cp:lastPrinted>2021-03-25T16:57:50Z</cp:lastPrinted>
  <dcterms:created xsi:type="dcterms:W3CDTF">2017-01-12T18:28:45Z</dcterms:created>
  <dcterms:modified xsi:type="dcterms:W3CDTF">2021-03-25T18:12:47Z</dcterms:modified>
  <cp:category/>
  <cp:version/>
  <cp:contentType/>
  <cp:contentStatus/>
</cp:coreProperties>
</file>